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tabRatio="630" activeTab="0"/>
  </bookViews>
  <sheets>
    <sheet name="WPF Tabela_1" sheetId="1" r:id="rId1"/>
    <sheet name="WPF Tabela _2" sheetId="2" r:id="rId2"/>
    <sheet name="Przedsiew. Załącznik_1" sheetId="3" r:id="rId3"/>
    <sheet name="Przedsiew. Załacznik_2" sheetId="4" r:id="rId4"/>
    <sheet name="Przedsiew. Załącznik_3" sheetId="5" r:id="rId5"/>
    <sheet name="Przedsiew. Załącznik_4" sheetId="6" r:id="rId6"/>
    <sheet name="Prognoza_ Tabela 3" sheetId="7" r:id="rId7"/>
  </sheets>
  <definedNames/>
  <calcPr fullCalcOnLoad="1"/>
</workbook>
</file>

<file path=xl/comments3.xml><?xml version="1.0" encoding="utf-8"?>
<comments xmlns="http://schemas.openxmlformats.org/spreadsheetml/2006/main">
  <authors>
    <author>Basia</author>
  </authors>
  <commentList>
    <comment ref="F8" authorId="0">
      <text>
        <r>
          <rPr>
            <b/>
            <sz val="9"/>
            <rFont val="Tahoma"/>
            <family val="0"/>
          </rPr>
          <t>Basia:</t>
        </r>
        <r>
          <rPr>
            <sz val="9"/>
            <rFont val="Tahoma"/>
            <family val="0"/>
          </rPr>
          <t xml:space="preserve">
podana przez J. Raczyńską kwota 61.226,40 do niczego mi nie pasuje!</t>
        </r>
      </text>
    </comment>
  </commentList>
</comments>
</file>

<file path=xl/comments7.xml><?xml version="1.0" encoding="utf-8"?>
<comments xmlns="http://schemas.openxmlformats.org/spreadsheetml/2006/main">
  <authors>
    <author>Barbara Czyszczoń</author>
    <author>Basia</author>
  </authors>
  <commentList>
    <comment ref="G32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stam na koniec 2010- 5.787.979,58-1.227.514,27 kwota nie zrealizowanego planu kredytu -100.000 kwota nie zrealizowanego planu pożyczki - 255 zł o tą kwotę dostaliśmy mniej pożyczki w 2009 r., wpłynęła w 2010 r.
</t>
        </r>
      </text>
    </comment>
    <comment ref="H4" authorId="1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pierwotnie była zastosowana formuła =G4+(G4*3%), przy zmianie na 03.03.2011 wpisano kwotę "z palca"</t>
        </r>
      </text>
    </comment>
    <comment ref="H5" authorId="1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pierwotnie była zastosowana formuła =(G5*3%)+G5, przy zmianie na 03.03.2011 wpisano kwotę "z palca"</t>
        </r>
      </text>
    </comment>
    <comment ref="H8" authorId="1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pierwotnie była zastosowana formuła =G8+(G8*2,8%)-423843,61, przy zmianie na 03.03.2011 wpisano kwotę "z palca"</t>
        </r>
      </text>
    </comment>
  </commentList>
</comments>
</file>

<file path=xl/sharedStrings.xml><?xml version="1.0" encoding="utf-8"?>
<sst xmlns="http://schemas.openxmlformats.org/spreadsheetml/2006/main" count="394" uniqueCount="175">
  <si>
    <t>Lp.</t>
  </si>
  <si>
    <t>Wyszczególnienie</t>
  </si>
  <si>
    <t>I.</t>
  </si>
  <si>
    <t>Przepływy bieżące</t>
  </si>
  <si>
    <t>1.</t>
  </si>
  <si>
    <t>2.</t>
  </si>
  <si>
    <t>Dochody bieżące</t>
  </si>
  <si>
    <t>Wydatki bieżące</t>
  </si>
  <si>
    <t>wynagrodzenia i składki od nich naliczane</t>
  </si>
  <si>
    <t>wydatki związane z funkcjonowaniem organów JST</t>
  </si>
  <si>
    <t>obsługa długu</t>
  </si>
  <si>
    <t>gwarancje i poręczenia</t>
  </si>
  <si>
    <t xml:space="preserve">wydatki na przedsięwzięcia, o których mowa w art. 226 ust. 4 </t>
  </si>
  <si>
    <t>3.</t>
  </si>
  <si>
    <t>w tym:</t>
  </si>
  <si>
    <t>II.</t>
  </si>
  <si>
    <t>Przepływy majątkowe</t>
  </si>
  <si>
    <t>Dochody majątkowe</t>
  </si>
  <si>
    <t>ze sprzedaży mająstku</t>
  </si>
  <si>
    <t>Wydatki majątkowe</t>
  </si>
  <si>
    <t>Wynik na przepływach majątkowych</t>
  </si>
  <si>
    <t>Wynik na przepływach bieżących</t>
  </si>
  <si>
    <t>III.</t>
  </si>
  <si>
    <t>Dochody (I.1. + II.1.)</t>
  </si>
  <si>
    <t>Wydatki (I.2. + II.2.)</t>
  </si>
  <si>
    <t>Wynik budżetu - nadwyżka/deficyt</t>
  </si>
  <si>
    <t>IV.</t>
  </si>
  <si>
    <t>Przeznaczenie nadwyżki</t>
  </si>
  <si>
    <t>Regulowanie zobowiązań</t>
  </si>
  <si>
    <t>spłata zaciągniętych pożyczek</t>
  </si>
  <si>
    <t>spłata zaciągniętych kredytów</t>
  </si>
  <si>
    <t>wykup wyemitowanych obligacji</t>
  </si>
  <si>
    <t>Inne</t>
  </si>
  <si>
    <t>pożyczki do udzielenia</t>
  </si>
  <si>
    <t>inne</t>
  </si>
  <si>
    <t>V.</t>
  </si>
  <si>
    <t>Finansowanie deficytu</t>
  </si>
  <si>
    <t>Przychody zwrotne</t>
  </si>
  <si>
    <t>pożyczki</t>
  </si>
  <si>
    <t>kredyty</t>
  </si>
  <si>
    <t>emisja obligacji</t>
  </si>
  <si>
    <t>Przychody bezzwrotne</t>
  </si>
  <si>
    <t>prywatyzacja majątku</t>
  </si>
  <si>
    <t>spłata udzielonych pożyczek</t>
  </si>
  <si>
    <t>nadwyżka budżetowa z lat poprzednich</t>
  </si>
  <si>
    <t>wolne środki</t>
  </si>
  <si>
    <t>Przychody</t>
  </si>
  <si>
    <t>Rozchody</t>
  </si>
  <si>
    <t>Prognoza kwoty długu</t>
  </si>
  <si>
    <t>Dług na początek roku</t>
  </si>
  <si>
    <t>Dług na koniec roku</t>
  </si>
  <si>
    <t>Finansowanie spłaty długu</t>
  </si>
  <si>
    <t>dochody własne</t>
  </si>
  <si>
    <t>nadwyżka budżetowa</t>
  </si>
  <si>
    <t>kredyt</t>
  </si>
  <si>
    <t>pożyczka</t>
  </si>
  <si>
    <t>Nazwa i cel przedsięwzięcia</t>
  </si>
  <si>
    <t>Okres realizacji</t>
  </si>
  <si>
    <t>Łączne nakłady finansowe</t>
  </si>
  <si>
    <t>razem</t>
  </si>
  <si>
    <t>PPP</t>
  </si>
  <si>
    <t>Limit zobowiązań</t>
  </si>
  <si>
    <t>Limit wydatków w poszczególnych latach</t>
  </si>
  <si>
    <t>UE</t>
  </si>
  <si>
    <t>Jednostka organizacyjna</t>
  </si>
  <si>
    <t>Łącznie:</t>
  </si>
  <si>
    <t>I.1</t>
  </si>
  <si>
    <t>I.2</t>
  </si>
  <si>
    <t>Wydatki</t>
  </si>
  <si>
    <t>Dochody (D)</t>
  </si>
  <si>
    <t>Dochody bieżące (Db)</t>
  </si>
  <si>
    <t>Dochody ze sprzedaży majątku (Sm)</t>
  </si>
  <si>
    <t>Wydatki bieżące (Wb)</t>
  </si>
  <si>
    <t>Poręczenia i gwarancje</t>
  </si>
  <si>
    <t>Obsługa długu (O)</t>
  </si>
  <si>
    <t>Poręczenia i gwarancje (O)</t>
  </si>
  <si>
    <t>II.1</t>
  </si>
  <si>
    <t>II.1.1</t>
  </si>
  <si>
    <t>II.1.2</t>
  </si>
  <si>
    <t>-w tym podlegające wyłączeniu*</t>
  </si>
  <si>
    <t>- podlegające wyłączeniu*</t>
  </si>
  <si>
    <t>Dochody bieżące - wydatki bieżące (I.1 - II.1)</t>
  </si>
  <si>
    <t>Wynik budżetu (I-II)</t>
  </si>
  <si>
    <t>kredyty, pożyczki, papiery wartościowe</t>
  </si>
  <si>
    <t>nadwyżka</t>
  </si>
  <si>
    <t>inne (np. prywatyzacja)</t>
  </si>
  <si>
    <t>V.1</t>
  </si>
  <si>
    <t>V.2</t>
  </si>
  <si>
    <t>V.4</t>
  </si>
  <si>
    <t>V.3</t>
  </si>
  <si>
    <t>VI.</t>
  </si>
  <si>
    <t>VI.1</t>
  </si>
  <si>
    <t>spłata kredytów, pożyczek, wykup wyemitowanych papierów wartościowych</t>
  </si>
  <si>
    <t>udzielone pożyczki</t>
  </si>
  <si>
    <t>VI.2</t>
  </si>
  <si>
    <t>VI.3</t>
  </si>
  <si>
    <t>VII.</t>
  </si>
  <si>
    <t>Suma bilansująca (I+V=II+VI)</t>
  </si>
  <si>
    <t>VIII.</t>
  </si>
  <si>
    <t>Zmiana stanu zobowiązań (V.1-VI.1)</t>
  </si>
  <si>
    <t>IX.</t>
  </si>
  <si>
    <t>Stan zobowiązań (Dług)</t>
  </si>
  <si>
    <t>Stan na początek roku</t>
  </si>
  <si>
    <t>IX.1</t>
  </si>
  <si>
    <t>IX.2</t>
  </si>
  <si>
    <t>Stan zobowiązań wymagalnych na koniec roku</t>
  </si>
  <si>
    <t>IX.3</t>
  </si>
  <si>
    <t>Umorzenie pożyczek</t>
  </si>
  <si>
    <t>IX.4</t>
  </si>
  <si>
    <t>Stan na koniec roku (VIII+IX.1+IX.2-IX.3)</t>
  </si>
  <si>
    <t>X.</t>
  </si>
  <si>
    <t>X.1</t>
  </si>
  <si>
    <t>Zobowiązania niewymagalne z tytułu poręczeń i gwarancji zgodnie z harmonogramem</t>
  </si>
  <si>
    <t>XI.</t>
  </si>
  <si>
    <t>Zobowiązania Związków</t>
  </si>
  <si>
    <t>XI.1</t>
  </si>
  <si>
    <t>Przypadające w danym roku spłaty rat kredytów i pożyczek, wykup wyemitowanych papierów wartościowych</t>
  </si>
  <si>
    <t>XII.</t>
  </si>
  <si>
    <t>WSKAŹNIKI</t>
  </si>
  <si>
    <t>XII.1</t>
  </si>
  <si>
    <t>- z uwzględnieniem *</t>
  </si>
  <si>
    <t>XII.2</t>
  </si>
  <si>
    <t>XII.3</t>
  </si>
  <si>
    <t>Art. 243 ustawy z dnia 27 sierpnia 2009 r. - średnia (Db-Wb+Dm)/D</t>
  </si>
  <si>
    <t>Art. 243 ustawy z dnia 27 sierpnia 2009 r. - relacja (R+O/D)</t>
  </si>
  <si>
    <t>RELACJA z Art. 243 zachowana (TAK/NIE)</t>
  </si>
  <si>
    <t>x</t>
  </si>
  <si>
    <t>Limity zaciągania zobowiązań</t>
  </si>
  <si>
    <t>IV.1</t>
  </si>
  <si>
    <t>Ustawa z dnia 30 czerwca 2005 r. o finansach publicznych (DzU nr 249, poz. 2104 ze zm.)</t>
  </si>
  <si>
    <t>IV.2</t>
  </si>
  <si>
    <t>Relacja, o której mowa w art. 243 ustawy z dnia 27 sierpnia 2009r. O finansach publicznych (DzU nr 157, poz. 1240)</t>
  </si>
  <si>
    <t>IV.3</t>
  </si>
  <si>
    <t>Rzeczywista obsługa zadłużenia (R+O)/Dochody ogółem</t>
  </si>
  <si>
    <t>a)</t>
  </si>
  <si>
    <t>b)</t>
  </si>
  <si>
    <t>relacja z art. 169</t>
  </si>
  <si>
    <t>relacja z art. 170</t>
  </si>
  <si>
    <t>* art. 169 ust. 3 oraz art. 170 ust. 3 ustawy z dnia 30 czerwca 2005 r. o finansach publicznych w latach 2008 – 2013</t>
  </si>
  <si>
    <t>* art. 243 ust. 3 ustawy z dnia  27 sierpnia 2009 r. o finansach publicznych  od roku 2014 (informacyjnie w latach 2011-2013)</t>
  </si>
  <si>
    <t>Urząd Miejski w Kuźni Raciborskiej</t>
  </si>
  <si>
    <t>2005-2012</t>
  </si>
  <si>
    <t>Gminne Przedsiębiorstwo Wodociągów i Kanalizacji w Kuźni Raciborskiej</t>
  </si>
  <si>
    <t>2009-2012</t>
  </si>
  <si>
    <t>2009-2011</t>
  </si>
  <si>
    <t>2010-2012</t>
  </si>
  <si>
    <t>Szkoła Podstawowa w Kuźni Raciborskiej</t>
  </si>
  <si>
    <t>Przedszkole Nr 2 w Kuźni Raciborskiej</t>
  </si>
  <si>
    <t>2010-2011</t>
  </si>
  <si>
    <t>Poręczenie pożyczki udzielanej Gminnemu Przedsiębiorstwu Wodociągów i Kanalizacji Sp. z o.o. z siedzibą w Kuźni Raciborskiej przez Wojewódzki Fundusz Ochrony Środowiska i Gospodarki Wodnej w Katowicach na realizację budowy oczyszczalni ścieków w Kuźni Raciborskiej</t>
  </si>
  <si>
    <t>Gminne Przedsiębiorstwo Wodociągów i Kanalizacji Sp. Z o.o. w Kuźni Raciborskiej</t>
  </si>
  <si>
    <t>2009-2020</t>
  </si>
  <si>
    <t>2009-2013</t>
  </si>
  <si>
    <t>Wieloletnia Prognoza Finansowa na lata 2011-2020</t>
  </si>
  <si>
    <t>Wieloletnia Prognoza Finansowa  na lata 2011-2020</t>
  </si>
  <si>
    <t>Informacja o relacji kształtowania się długu, o której mowa w art. 243 ustawy o finansach publiczncyh na lata 2011-2020</t>
  </si>
  <si>
    <t>Programy, projekty i zadania bieżące na lata 2011-2020</t>
  </si>
  <si>
    <t>Programy, projekty i zadania majątkowe na lata 2011-2020</t>
  </si>
  <si>
    <t>Umowy, których realizacja w roku budżetowym i w latach następnych jest niezbędna dla zapewnienia ciągłości działania Gminy i których płatności wykraczają poza rok budżetowy w latach 2011-2020</t>
  </si>
  <si>
    <t>Załącznik Nr 4 do Uchwały Nr IV/30/2011 Rady Miejskiej w Kuźni Raciborskiej z dnia 20 stycznia 2011 r.</t>
  </si>
  <si>
    <t xml:space="preserve"> Gwarancje i poręczenia udzielane przez Gminę w latach 2011-2020</t>
  </si>
  <si>
    <t>Załącznik Nr 3 do Uchwały Nr …………. Rady Miejskiej w Kuźni Raciborskiej z dnia 03 marca 2011 r.</t>
  </si>
  <si>
    <r>
      <t xml:space="preserve">Budowa hali sportowej wraz z łacznikiem do istniejącego budynku ZSO w Rudach wraz z zapleczem  </t>
    </r>
    <r>
      <rPr>
        <sz val="10"/>
        <color indexed="12"/>
        <rFont val="Times New Roman"/>
        <family val="1"/>
      </rPr>
      <t xml:space="preserve">                                             Cel przedsięwzięcia: Stworzenie warunków do wypełnienia obowiązków edukacyjnych, zabezpieczenie warunków do uprawiania sportu, kultury i rekreacji, dostosowanie bazy sportowej do aktualnych standardów.</t>
    </r>
  </si>
  <si>
    <r>
      <t xml:space="preserve">Budowa kanalizacji sanitarnej dla miasta Kuźnia Raciborska część południowo-zachodnia - objęcie udziałów w spółce GPWiK  </t>
    </r>
    <r>
      <rPr>
        <sz val="10"/>
        <color indexed="12"/>
        <rFont val="Times New Roman"/>
        <family val="1"/>
      </rPr>
      <t xml:space="preserve">                                                              Cel przedsięwzięcia: Poprawa stanu ochrony środowiska naturalnego w gminie, związanego z realizacją celów w zakresie gospodarki wodno-ściekowej.</t>
    </r>
  </si>
  <si>
    <r>
      <t xml:space="preserve">Południowo-Zachodni Szlak Cystersów        </t>
    </r>
    <r>
      <rPr>
        <sz val="10"/>
        <color indexed="12"/>
        <rFont val="Times New Roman"/>
        <family val="1"/>
      </rPr>
      <t>Cel przedsięwzięcia: Inwestycja w produkt turystyczny o znaczeniu ponadregionalnym.</t>
    </r>
  </si>
  <si>
    <r>
      <t xml:space="preserve">Termomodernizacja budynku Miejskiego Ośrodka Kultury, Sportu i Rekreacji w Kuźni Raciborskiej przy ul. Klasztornej 9   </t>
    </r>
    <r>
      <rPr>
        <sz val="10"/>
        <color indexed="12"/>
        <rFont val="Times New Roman"/>
        <family val="1"/>
      </rPr>
      <t>Cel przedsięwzięcia: Celem zadania termomodernizacyjnego jest modernizacja kotłowni z wymianą kotłów na nowe, montaż kolektorów słonecznych, modernizacja instalacji wentylacji mechanicznej, modernizacja instalacji c.o., wykonanie ocieplenia ścian zewnetrznych kondygnacji naziemnych oraz fundamentów i ścian piwnic, wykonanie ocieplenia dachu, wymiana stolarki okiennej i drzwiowej. Przeprowadzone zadanie termomodernizacyjne doprowadzi do zmniejszenia zapotrzebowania ciepła dla obiektu, zmniejszenia zużycia oleju opałowego, co w konsekwencji doprowadzi do zmniejszenia ilości zanieczyszczeń wydalanych do atmosfery o ok. 71% (zgodnie z przeprowadzonym audytem energetycznym).</t>
    </r>
  </si>
  <si>
    <r>
      <t xml:space="preserve">Poprawa efektywności i jakości oświetlenia ulicznego.                                                       </t>
    </r>
    <r>
      <rPr>
        <sz val="10"/>
        <color indexed="12"/>
        <rFont val="Times New Roman"/>
        <family val="1"/>
      </rPr>
      <t>Cel przedsięwzięcia: Oświetlenie ulic, placów i dróg publicznych znajdujących się na terenie gminy Kuźnia Raciborska. Poprawa efektywności i jakości oświetlenia ulicznego, w szczególności poprzez montaż energooszczędnych opraw oświetleniowych, niezbędnych elementów sieci i urządzeń oraz rekonfigurację układu sieci, dobudowę nowych punktów świetlnych, wymiana słupów.</t>
    </r>
  </si>
  <si>
    <t>Załącznik Nr 1 do Uchwały Nr ………... Rady Miejskiej w Kuźni Raciborskiej z dnia 22 czerwca 2011 r.</t>
  </si>
  <si>
    <r>
      <t xml:space="preserve">Program Sokrates Comenius - "Uczenie się przez całe życie"                                         </t>
    </r>
    <r>
      <rPr>
        <sz val="10"/>
        <color indexed="18"/>
        <rFont val="Times New Roman"/>
        <family val="1"/>
      </rPr>
      <t>Cel przedsięwziecia:  Stworzenie okazji do poznania różnych kultur, zwyczajów, wymiana doświadczeń pomiędzy krajami uczestniczącymi w projekcie (Polska, Turcja, Hiszpania, Włochy, Węgry, Rumunia, Bułgaria).</t>
    </r>
  </si>
  <si>
    <r>
      <t xml:space="preserve">Program Sokrates Comenius - "Uczenie się przez całe życie"                                             </t>
    </r>
    <r>
      <rPr>
        <sz val="10"/>
        <color indexed="18"/>
        <rFont val="Times New Roman"/>
        <family val="1"/>
      </rPr>
      <t>Cel przedsięwzięcia: Rozbudzenie świadomości ochrony środowiska i wrażliwości na zasady ruchu drogowego.</t>
    </r>
  </si>
  <si>
    <r>
      <t xml:space="preserve">Program Operacyjny Kapitał Ludzki - projekt "Zajęcia pozalekcyjne dla uczniów Szkoły Podstawowej w Kuźni Raciborskiej   </t>
    </r>
    <r>
      <rPr>
        <sz val="10"/>
        <color indexed="18"/>
        <rFont val="Times New Roman"/>
        <family val="1"/>
      </rPr>
      <t>Cel przedsięwzięcia: Wyrównywanie szans edukacyjnych uczniów z grup o utrudnionym dostępie do edukacji oraz zmniejszenie różnic w jakości usług edukacyjnych.</t>
    </r>
  </si>
  <si>
    <r>
      <t xml:space="preserve">Tabela Nr 1 do Uchwały Nr </t>
    </r>
    <r>
      <rPr>
        <b/>
        <i/>
        <sz val="11"/>
        <color indexed="18"/>
        <rFont val="Times New Roman"/>
        <family val="1"/>
      </rPr>
      <t xml:space="preserve">IX/89/2011 </t>
    </r>
    <r>
      <rPr>
        <b/>
        <sz val="11"/>
        <color indexed="18"/>
        <rFont val="Times New Roman"/>
        <family val="1"/>
      </rPr>
      <t xml:space="preserve">Rady Miejskiej  z 25 sierpnia 2011 r. </t>
    </r>
  </si>
  <si>
    <t>Tabela Nr 2 do Uchwały Nr IX/89/2011 Rady Miejskiej w Kuźni Raciborskiej z dnia 25 sierpnia 2011 r.</t>
  </si>
  <si>
    <t>Tabela Nr 3 do Uchwały Nr IX/89/2011 Rady Miejskiej z dnia 25 sierpnia 2011 r.</t>
  </si>
  <si>
    <t>Załącznik Nr 1 do Uchwały Nr IX/89/2011 Rady Miejskiej w Kuźni Raciborskiej z dnia 25 sierpnia 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</si>
</sst>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[Red]\-#,##0.00\ "/>
    <numFmt numFmtId="166" formatCode="#,##0_ ;[Red]\-#,##0\ "/>
    <numFmt numFmtId="167" formatCode="0.0%"/>
  </numFmts>
  <fonts count="38">
    <font>
      <sz val="11"/>
      <color indexed="63"/>
      <name val="Czcionka tekstu podstawowego"/>
      <family val="2"/>
    </font>
    <font>
      <b/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2"/>
      <name val="Times New Roman"/>
      <family val="1"/>
    </font>
    <font>
      <sz val="10"/>
      <color indexed="12"/>
      <name val="Times New Roman"/>
      <family val="1"/>
    </font>
    <font>
      <i/>
      <sz val="8"/>
      <color indexed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Czcionka tekstu podstawowego"/>
      <family val="0"/>
    </font>
    <font>
      <sz val="8"/>
      <name val="Times New Roman"/>
      <family val="1"/>
    </font>
    <font>
      <sz val="10"/>
      <color indexed="1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Book Antiqua"/>
      <family val="2"/>
    </font>
    <font>
      <sz val="11"/>
      <color indexed="20"/>
      <name val="Czcionka tekstu podstawowego"/>
      <family val="2"/>
    </font>
    <font>
      <b/>
      <sz val="10"/>
      <color indexed="18"/>
      <name val="Times New Roman"/>
      <family val="1"/>
    </font>
    <font>
      <sz val="8"/>
      <color indexed="18"/>
      <name val="Times New Roman"/>
      <family val="1"/>
    </font>
    <font>
      <i/>
      <sz val="8"/>
      <color indexed="18"/>
      <name val="Times New Roman"/>
      <family val="1"/>
    </font>
    <font>
      <b/>
      <sz val="10"/>
      <color indexed="18"/>
      <name val="Book Antiqua"/>
      <family val="1"/>
    </font>
    <font>
      <b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sz val="8"/>
      <name val="Czcionka tekstu podstawowego"/>
      <family val="2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2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7" fillId="5" borderId="1" applyNumberFormat="0" applyAlignment="0" applyProtection="0"/>
    <xf numFmtId="0" fontId="18" fillId="3" borderId="2" applyNumberFormat="0" applyAlignment="0" applyProtection="0"/>
    <xf numFmtId="0" fontId="19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8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3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5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right"/>
    </xf>
    <xf numFmtId="165" fontId="1" fillId="3" borderId="10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3" borderId="10" xfId="0" applyFont="1" applyFill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10" fontId="1" fillId="0" borderId="10" xfId="52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15" xfId="0" applyFont="1" applyBorder="1" applyAlignment="1">
      <alignment/>
    </xf>
    <xf numFmtId="10" fontId="1" fillId="0" borderId="10" xfId="52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9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3" borderId="0" xfId="0" applyFont="1" applyFill="1" applyAlignment="1">
      <alignment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0" fontId="1" fillId="3" borderId="10" xfId="0" applyNumberFormat="1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66" fontId="1" fillId="0" borderId="10" xfId="0" applyNumberFormat="1" applyFont="1" applyFill="1" applyBorder="1" applyAlignment="1">
      <alignment horizontal="left" vertical="center" wrapText="1"/>
    </xf>
    <xf numFmtId="166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vertical="center"/>
    </xf>
    <xf numFmtId="166" fontId="1" fillId="3" borderId="10" xfId="0" applyNumberFormat="1" applyFont="1" applyFill="1" applyBorder="1" applyAlignment="1">
      <alignment horizontal="right"/>
    </xf>
    <xf numFmtId="0" fontId="1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166" fontId="1" fillId="3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66" fontId="1" fillId="0" borderId="10" xfId="0" applyNumberFormat="1" applyFont="1" applyBorder="1" applyAlignment="1">
      <alignment horizontal="left" vertical="center" wrapText="1"/>
    </xf>
    <xf numFmtId="166" fontId="1" fillId="0" borderId="10" xfId="0" applyNumberFormat="1" applyFont="1" applyBorder="1" applyAlignment="1">
      <alignment horizontal="right" vertical="center"/>
    </xf>
    <xf numFmtId="4" fontId="1" fillId="3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4" fontId="9" fillId="0" borderId="10" xfId="0" applyNumberFormat="1" applyFont="1" applyBorder="1" applyAlignment="1">
      <alignment horizontal="right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65" fontId="9" fillId="0" borderId="10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 vertical="center"/>
    </xf>
    <xf numFmtId="0" fontId="1" fillId="12" borderId="10" xfId="0" applyNumberFormat="1" applyFont="1" applyFill="1" applyBorder="1" applyAlignment="1">
      <alignment horizontal="center"/>
    </xf>
    <xf numFmtId="0" fontId="1" fillId="12" borderId="0" xfId="0" applyNumberFormat="1" applyFont="1" applyFill="1" applyAlignment="1">
      <alignment horizontal="center"/>
    </xf>
    <xf numFmtId="165" fontId="9" fillId="3" borderId="10" xfId="0" applyNumberFormat="1" applyFont="1" applyFill="1" applyBorder="1" applyAlignment="1">
      <alignment horizontal="right"/>
    </xf>
    <xf numFmtId="4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vertical="center"/>
    </xf>
    <xf numFmtId="4" fontId="8" fillId="0" borderId="0" xfId="0" applyNumberFormat="1" applyFont="1" applyAlignment="1">
      <alignment/>
    </xf>
    <xf numFmtId="4" fontId="9" fillId="3" borderId="10" xfId="0" applyNumberFormat="1" applyFont="1" applyFill="1" applyBorder="1" applyAlignment="1">
      <alignment horizontal="right"/>
    </xf>
    <xf numFmtId="0" fontId="30" fillId="8" borderId="0" xfId="0" applyNumberFormat="1" applyFont="1" applyFill="1" applyAlignment="1">
      <alignment horizontal="center"/>
    </xf>
    <xf numFmtId="0" fontId="30" fillId="3" borderId="10" xfId="0" applyFont="1" applyFill="1" applyBorder="1" applyAlignment="1">
      <alignment/>
    </xf>
    <xf numFmtId="166" fontId="30" fillId="3" borderId="11" xfId="0" applyNumberFormat="1" applyFont="1" applyFill="1" applyBorder="1" applyAlignment="1">
      <alignment horizontal="right"/>
    </xf>
    <xf numFmtId="166" fontId="30" fillId="3" borderId="16" xfId="0" applyNumberFormat="1" applyFont="1" applyFill="1" applyBorder="1" applyAlignment="1">
      <alignment horizontal="right"/>
    </xf>
    <xf numFmtId="166" fontId="30" fillId="3" borderId="15" xfId="0" applyNumberFormat="1" applyFont="1" applyFill="1" applyBorder="1" applyAlignment="1">
      <alignment horizontal="right"/>
    </xf>
    <xf numFmtId="0" fontId="30" fillId="3" borderId="0" xfId="0" applyFont="1" applyFill="1" applyAlignment="1">
      <alignment/>
    </xf>
    <xf numFmtId="0" fontId="30" fillId="0" borderId="10" xfId="0" applyFont="1" applyBorder="1" applyAlignment="1">
      <alignment horizontal="right"/>
    </xf>
    <xf numFmtId="165" fontId="30" fillId="0" borderId="10" xfId="0" applyNumberFormat="1" applyFont="1" applyBorder="1" applyAlignment="1">
      <alignment horizontal="right"/>
    </xf>
    <xf numFmtId="165" fontId="30" fillId="0" borderId="10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31" fillId="0" borderId="13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165" fontId="31" fillId="0" borderId="10" xfId="0" applyNumberFormat="1" applyFont="1" applyBorder="1" applyAlignment="1">
      <alignment horizontal="right" vertical="center"/>
    </xf>
    <xf numFmtId="165" fontId="31" fillId="0" borderId="1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14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165" fontId="31" fillId="0" borderId="10" xfId="0" applyNumberFormat="1" applyFont="1" applyBorder="1" applyAlignment="1">
      <alignment horizontal="right" vertical="center" wrapText="1"/>
    </xf>
    <xf numFmtId="165" fontId="31" fillId="0" borderId="10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vertical="center" wrapText="1"/>
    </xf>
    <xf numFmtId="0" fontId="30" fillId="0" borderId="10" xfId="0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30" fillId="3" borderId="10" xfId="0" applyFont="1" applyFill="1" applyBorder="1" applyAlignment="1">
      <alignment horizontal="left"/>
    </xf>
    <xf numFmtId="165" fontId="30" fillId="3" borderId="11" xfId="0" applyNumberFormat="1" applyFont="1" applyFill="1" applyBorder="1" applyAlignment="1">
      <alignment horizontal="right"/>
    </xf>
    <xf numFmtId="165" fontId="30" fillId="3" borderId="16" xfId="0" applyNumberFormat="1" applyFont="1" applyFill="1" applyBorder="1" applyAlignment="1">
      <alignment horizontal="right"/>
    </xf>
    <xf numFmtId="165" fontId="30" fillId="3" borderId="15" xfId="0" applyNumberFormat="1" applyFont="1" applyFill="1" applyBorder="1" applyAlignment="1">
      <alignment horizontal="right"/>
    </xf>
    <xf numFmtId="165" fontId="30" fillId="4" borderId="10" xfId="0" applyNumberFormat="1" applyFont="1" applyFill="1" applyBorder="1" applyAlignment="1">
      <alignment horizontal="right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165" fontId="31" fillId="4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right" vertical="center" wrapText="1"/>
    </xf>
    <xf numFmtId="0" fontId="31" fillId="0" borderId="10" xfId="0" applyFont="1" applyBorder="1" applyAlignment="1">
      <alignment horizontal="center" vertical="center" wrapText="1"/>
    </xf>
    <xf numFmtId="165" fontId="31" fillId="4" borderId="10" xfId="0" applyNumberFormat="1" applyFont="1" applyFill="1" applyBorder="1" applyAlignment="1">
      <alignment horizontal="right" vertical="center" wrapText="1"/>
    </xf>
    <xf numFmtId="165" fontId="30" fillId="3" borderId="10" xfId="0" applyNumberFormat="1" applyFont="1" applyFill="1" applyBorder="1" applyAlignment="1">
      <alignment horizontal="right"/>
    </xf>
    <xf numFmtId="0" fontId="31" fillId="0" borderId="13" xfId="0" applyFont="1" applyBorder="1" applyAlignment="1">
      <alignment/>
    </xf>
    <xf numFmtId="0" fontId="32" fillId="0" borderId="10" xfId="0" applyFont="1" applyBorder="1" applyAlignment="1">
      <alignment/>
    </xf>
    <xf numFmtId="165" fontId="31" fillId="0" borderId="10" xfId="0" applyNumberFormat="1" applyFont="1" applyBorder="1" applyAlignment="1">
      <alignment horizontal="right"/>
    </xf>
    <xf numFmtId="165" fontId="31" fillId="0" borderId="10" xfId="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0" fontId="31" fillId="0" borderId="12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3" xfId="0" applyFont="1" applyBorder="1" applyAlignment="1">
      <alignment horizontal="right" vertical="center"/>
    </xf>
    <xf numFmtId="0" fontId="31" fillId="0" borderId="12" xfId="0" applyFont="1" applyBorder="1" applyAlignment="1">
      <alignment horizontal="right" vertical="center"/>
    </xf>
    <xf numFmtId="0" fontId="31" fillId="0" borderId="14" xfId="0" applyFont="1" applyBorder="1" applyAlignment="1">
      <alignment horizontal="right" vertical="center"/>
    </xf>
    <xf numFmtId="0" fontId="31" fillId="0" borderId="14" xfId="0" applyFont="1" applyBorder="1" applyAlignment="1">
      <alignment vertical="center"/>
    </xf>
    <xf numFmtId="0" fontId="15" fillId="0" borderId="0" xfId="0" applyFont="1" applyAlignment="1">
      <alignment/>
    </xf>
    <xf numFmtId="166" fontId="15" fillId="0" borderId="0" xfId="0" applyNumberFormat="1" applyFont="1" applyAlignment="1">
      <alignment horizontal="right"/>
    </xf>
    <xf numFmtId="4" fontId="30" fillId="3" borderId="10" xfId="0" applyNumberFormat="1" applyFont="1" applyFill="1" applyBorder="1" applyAlignment="1">
      <alignment horizontal="right"/>
    </xf>
    <xf numFmtId="0" fontId="30" fillId="0" borderId="11" xfId="0" applyFont="1" applyBorder="1" applyAlignment="1">
      <alignment/>
    </xf>
    <xf numFmtId="4" fontId="30" fillId="0" borderId="10" xfId="0" applyNumberFormat="1" applyFont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32" fillId="0" borderId="11" xfId="0" applyFont="1" applyBorder="1" applyAlignment="1">
      <alignment/>
    </xf>
    <xf numFmtId="4" fontId="31" fillId="0" borderId="10" xfId="0" applyNumberFormat="1" applyFont="1" applyBorder="1" applyAlignment="1">
      <alignment horizontal="right"/>
    </xf>
    <xf numFmtId="4" fontId="31" fillId="0" borderId="10" xfId="0" applyNumberFormat="1" applyFont="1" applyBorder="1" applyAlignment="1">
      <alignment horizontal="right" vertical="center"/>
    </xf>
    <xf numFmtId="0" fontId="32" fillId="0" borderId="10" xfId="0" applyFont="1" applyBorder="1" applyAlignment="1" quotePrefix="1">
      <alignment vertical="center"/>
    </xf>
    <xf numFmtId="4" fontId="31" fillId="0" borderId="10" xfId="0" applyNumberFormat="1" applyFont="1" applyBorder="1" applyAlignment="1">
      <alignment horizontal="right" vertical="center" wrapText="1"/>
    </xf>
    <xf numFmtId="4" fontId="31" fillId="0" borderId="10" xfId="0" applyNumberFormat="1" applyFont="1" applyFill="1" applyBorder="1" applyAlignment="1">
      <alignment horizontal="right" vertical="center" wrapText="1"/>
    </xf>
    <xf numFmtId="0" fontId="32" fillId="0" borderId="11" xfId="0" applyFont="1" applyBorder="1" applyAlignment="1" quotePrefix="1">
      <alignment/>
    </xf>
    <xf numFmtId="0" fontId="30" fillId="0" borderId="11" xfId="0" applyFont="1" applyBorder="1" applyAlignment="1">
      <alignment wrapText="1"/>
    </xf>
    <xf numFmtId="4" fontId="30" fillId="0" borderId="10" xfId="0" applyNumberFormat="1" applyFont="1" applyFill="1" applyBorder="1" applyAlignment="1">
      <alignment horizontal="right"/>
    </xf>
    <xf numFmtId="4" fontId="31" fillId="0" borderId="0" xfId="0" applyNumberFormat="1" applyFont="1" applyAlignment="1">
      <alignment/>
    </xf>
    <xf numFmtId="4" fontId="30" fillId="3" borderId="11" xfId="0" applyNumberFormat="1" applyFont="1" applyFill="1" applyBorder="1" applyAlignment="1">
      <alignment horizontal="right"/>
    </xf>
    <xf numFmtId="4" fontId="30" fillId="3" borderId="16" xfId="0" applyNumberFormat="1" applyFont="1" applyFill="1" applyBorder="1" applyAlignment="1">
      <alignment horizontal="right"/>
    </xf>
    <xf numFmtId="4" fontId="30" fillId="3" borderId="15" xfId="0" applyNumberFormat="1" applyFont="1" applyFill="1" applyBorder="1" applyAlignment="1">
      <alignment horizontal="right"/>
    </xf>
    <xf numFmtId="0" fontId="30" fillId="3" borderId="10" xfId="0" applyFont="1" applyFill="1" applyBorder="1" applyAlignment="1">
      <alignment horizontal="left" vertical="center"/>
    </xf>
    <xf numFmtId="166" fontId="30" fillId="3" borderId="10" xfId="0" applyNumberFormat="1" applyFont="1" applyFill="1" applyBorder="1" applyAlignment="1">
      <alignment horizontal="right"/>
    </xf>
    <xf numFmtId="166" fontId="30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 horizontal="right" vertical="center"/>
    </xf>
    <xf numFmtId="166" fontId="30" fillId="0" borderId="10" xfId="0" applyNumberFormat="1" applyFont="1" applyBorder="1" applyAlignment="1">
      <alignment horizontal="center" vertical="center"/>
    </xf>
    <xf numFmtId="10" fontId="30" fillId="0" borderId="10" xfId="52" applyNumberFormat="1" applyFont="1" applyBorder="1" applyAlignment="1">
      <alignment horizontal="right"/>
    </xf>
    <xf numFmtId="166" fontId="15" fillId="0" borderId="10" xfId="0" applyNumberFormat="1" applyFont="1" applyBorder="1" applyAlignment="1">
      <alignment horizontal="center" vertical="center"/>
    </xf>
    <xf numFmtId="10" fontId="15" fillId="0" borderId="10" xfId="52" applyNumberFormat="1" applyFont="1" applyBorder="1" applyAlignment="1">
      <alignment horizontal="right"/>
    </xf>
    <xf numFmtId="0" fontId="33" fillId="0" borderId="0" xfId="0" applyFont="1" applyAlignment="1">
      <alignment/>
    </xf>
    <xf numFmtId="0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166" fontId="30" fillId="0" borderId="10" xfId="0" applyNumberFormat="1" applyFont="1" applyFill="1" applyBorder="1" applyAlignment="1">
      <alignment horizontal="left" vertical="center" wrapText="1"/>
    </xf>
    <xf numFmtId="166" fontId="30" fillId="0" borderId="10" xfId="0" applyNumberFormat="1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/>
    </xf>
    <xf numFmtId="4" fontId="30" fillId="0" borderId="10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66" fontId="30" fillId="0" borderId="10" xfId="0" applyNumberFormat="1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15" fillId="0" borderId="0" xfId="0" applyFont="1" applyFill="1" applyAlignment="1">
      <alignment/>
    </xf>
    <xf numFmtId="166" fontId="15" fillId="0" borderId="0" xfId="0" applyNumberFormat="1" applyFont="1" applyFill="1" applyAlignment="1">
      <alignment horizontal="right"/>
    </xf>
    <xf numFmtId="166" fontId="34" fillId="0" borderId="10" xfId="0" applyNumberFormat="1" applyFont="1" applyFill="1" applyBorder="1" applyAlignment="1">
      <alignment horizontal="right" vertical="center"/>
    </xf>
    <xf numFmtId="0" fontId="30" fillId="8" borderId="10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165" fontId="14" fillId="0" borderId="10" xfId="0" applyNumberFormat="1" applyFont="1" applyBorder="1" applyAlignment="1">
      <alignment horizontal="right" vertical="center" wrapText="1"/>
    </xf>
    <xf numFmtId="4" fontId="9" fillId="3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165" fontId="9" fillId="0" borderId="10" xfId="0" applyNumberFormat="1" applyFont="1" applyFill="1" applyBorder="1" applyAlignment="1">
      <alignment horizontal="right"/>
    </xf>
    <xf numFmtId="165" fontId="9" fillId="3" borderId="10" xfId="0" applyNumberFormat="1" applyFont="1" applyFill="1" applyBorder="1" applyAlignment="1">
      <alignment horizontal="right"/>
    </xf>
    <xf numFmtId="165" fontId="14" fillId="0" borderId="10" xfId="0" applyNumberFormat="1" applyFont="1" applyFill="1" applyBorder="1" applyAlignment="1">
      <alignment horizontal="right"/>
    </xf>
    <xf numFmtId="165" fontId="9" fillId="4" borderId="10" xfId="0" applyNumberFormat="1" applyFont="1" applyFill="1" applyBorder="1" applyAlignment="1">
      <alignment horizontal="right"/>
    </xf>
    <xf numFmtId="0" fontId="30" fillId="0" borderId="11" xfId="0" applyFont="1" applyFill="1" applyBorder="1" applyAlignment="1">
      <alignment horizontal="left"/>
    </xf>
    <xf numFmtId="0" fontId="35" fillId="0" borderId="17" xfId="0" applyFont="1" applyBorder="1" applyAlignment="1">
      <alignment horizontal="center" vertical="center"/>
    </xf>
    <xf numFmtId="0" fontId="30" fillId="0" borderId="10" xfId="0" applyFont="1" applyBorder="1" applyAlignment="1">
      <alignment horizontal="left"/>
    </xf>
    <xf numFmtId="0" fontId="31" fillId="0" borderId="13" xfId="0" applyFont="1" applyBorder="1" applyAlignment="1">
      <alignment horizontal="center" vertical="center" textRotation="90"/>
    </xf>
    <xf numFmtId="0" fontId="31" fillId="0" borderId="12" xfId="0" applyFont="1" applyBorder="1" applyAlignment="1">
      <alignment horizontal="center" vertical="center" textRotation="90"/>
    </xf>
    <xf numFmtId="0" fontId="31" fillId="0" borderId="14" xfId="0" applyFont="1" applyBorder="1" applyAlignment="1">
      <alignment horizontal="center" vertical="center" textRotation="90"/>
    </xf>
    <xf numFmtId="0" fontId="30" fillId="0" borderId="11" xfId="0" applyFont="1" applyBorder="1" applyAlignment="1">
      <alignment horizontal="left"/>
    </xf>
    <xf numFmtId="0" fontId="30" fillId="0" borderId="15" xfId="0" applyFont="1" applyBorder="1" applyAlignment="1">
      <alignment horizontal="left"/>
    </xf>
    <xf numFmtId="0" fontId="30" fillId="3" borderId="10" xfId="0" applyFont="1" applyFill="1" applyBorder="1" applyAlignment="1">
      <alignment horizontal="center"/>
    </xf>
    <xf numFmtId="0" fontId="35" fillId="0" borderId="0" xfId="0" applyFont="1" applyAlignment="1">
      <alignment horizontal="right" vertical="center"/>
    </xf>
    <xf numFmtId="0" fontId="30" fillId="8" borderId="10" xfId="0" applyNumberFormat="1" applyFont="1" applyFill="1" applyBorder="1" applyAlignment="1">
      <alignment horizontal="center"/>
    </xf>
    <xf numFmtId="0" fontId="30" fillId="0" borderId="15" xfId="0" applyFont="1" applyFill="1" applyBorder="1" applyAlignment="1">
      <alignment horizontal="left"/>
    </xf>
    <xf numFmtId="0" fontId="31" fillId="0" borderId="10" xfId="0" applyFont="1" applyBorder="1" applyAlignment="1">
      <alignment horizontal="center" vertical="center" textRotation="90"/>
    </xf>
    <xf numFmtId="0" fontId="30" fillId="3" borderId="11" xfId="0" applyFont="1" applyFill="1" applyBorder="1" applyAlignment="1">
      <alignment horizontal="left"/>
    </xf>
    <xf numFmtId="0" fontId="30" fillId="3" borderId="15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1" fillId="3" borderId="11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1" fillId="12" borderId="10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0" fillId="0" borderId="13" xfId="0" applyNumberFormat="1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166" fontId="30" fillId="0" borderId="13" xfId="0" applyNumberFormat="1" applyFont="1" applyFill="1" applyBorder="1" applyAlignment="1">
      <alignment horizontal="center" vertical="center"/>
    </xf>
    <xf numFmtId="166" fontId="30" fillId="0" borderId="14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1" fillId="3" borderId="10" xfId="0" applyNumberFormat="1" applyFont="1" applyFill="1" applyBorder="1" applyAlignment="1">
      <alignment horizontal="center" vertical="center" wrapText="1"/>
    </xf>
    <xf numFmtId="166" fontId="1" fillId="3" borderId="13" xfId="0" applyNumberFormat="1" applyFont="1" applyFill="1" applyBorder="1" applyAlignment="1">
      <alignment horizontal="center" vertical="center"/>
    </xf>
    <xf numFmtId="166" fontId="1" fillId="3" borderId="14" xfId="0" applyNumberFormat="1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/>
    </xf>
    <xf numFmtId="0" fontId="1" fillId="3" borderId="15" xfId="0" applyNumberFormat="1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 wrapText="1"/>
    </xf>
    <xf numFmtId="0" fontId="1" fillId="3" borderId="15" xfId="0" applyNumberFormat="1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/>
    </xf>
    <xf numFmtId="4" fontId="1" fillId="3" borderId="13" xfId="0" applyNumberFormat="1" applyFont="1" applyFill="1" applyBorder="1" applyAlignment="1">
      <alignment horizontal="center" vertical="center"/>
    </xf>
    <xf numFmtId="4" fontId="1" fillId="3" borderId="1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" fillId="3" borderId="13" xfId="0" applyNumberFormat="1" applyFont="1" applyFill="1" applyBorder="1" applyAlignment="1">
      <alignment horizontal="center" vertical="center" wrapText="1"/>
    </xf>
    <xf numFmtId="0" fontId="1" fillId="3" borderId="14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30" fillId="8" borderId="10" xfId="0" applyFont="1" applyFill="1" applyBorder="1" applyAlignment="1">
      <alignment horizontal="center"/>
    </xf>
    <xf numFmtId="0" fontId="30" fillId="0" borderId="13" xfId="0" applyFont="1" applyBorder="1" applyAlignment="1">
      <alignment horizontal="center" vertical="center" textRotation="90"/>
    </xf>
    <xf numFmtId="0" fontId="30" fillId="0" borderId="12" xfId="0" applyFont="1" applyBorder="1" applyAlignment="1">
      <alignment horizontal="center" vertical="center" textRotation="90"/>
    </xf>
    <xf numFmtId="0" fontId="30" fillId="3" borderId="11" xfId="0" applyFont="1" applyFill="1" applyBorder="1" applyAlignment="1">
      <alignment horizontal="center"/>
    </xf>
    <xf numFmtId="0" fontId="30" fillId="3" borderId="15" xfId="0" applyFont="1" applyFill="1" applyBorder="1" applyAlignment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2" fillId="0" borderId="11" xfId="0" applyFont="1" applyBorder="1" applyAlignment="1" quotePrefix="1">
      <alignment horizontal="left"/>
    </xf>
    <xf numFmtId="0" fontId="32" fillId="0" borderId="15" xfId="0" applyFont="1" applyBorder="1" applyAlignment="1">
      <alignment horizontal="left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0" fillId="0" borderId="15" xfId="0" applyFont="1" applyBorder="1" applyAlignment="1" quotePrefix="1">
      <alignment horizontal="left"/>
    </xf>
    <xf numFmtId="0" fontId="30" fillId="0" borderId="11" xfId="0" applyFont="1" applyBorder="1" applyAlignment="1">
      <alignment horizontal="left" vertical="center" wrapText="1"/>
    </xf>
    <xf numFmtId="0" fontId="30" fillId="0" borderId="15" xfId="0" applyFont="1" applyBorder="1" applyAlignment="1" quotePrefix="1">
      <alignment horizontal="lef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CM">
      <a:dk1>
        <a:srgbClr val="383431"/>
      </a:dk1>
      <a:lt1>
        <a:sysClr val="window" lastClr="FFFFFF"/>
      </a:lt1>
      <a:dk2>
        <a:srgbClr val="383431"/>
      </a:dk2>
      <a:lt2>
        <a:srgbClr val="DEDEDD"/>
      </a:lt2>
      <a:accent1>
        <a:srgbClr val="EF9B11"/>
      </a:accent1>
      <a:accent2>
        <a:srgbClr val="FACF00"/>
      </a:accent2>
      <a:accent3>
        <a:srgbClr val="383431"/>
      </a:accent3>
      <a:accent4>
        <a:srgbClr val="605D5C"/>
      </a:accent4>
      <a:accent5>
        <a:srgbClr val="DEDEDD"/>
      </a:accent5>
      <a:accent6>
        <a:srgbClr val="FACF00"/>
      </a:accent6>
      <a:hlink>
        <a:srgbClr val="EF9B11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9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:M1"/>
    </sheetView>
  </sheetViews>
  <sheetFormatPr defaultColWidth="8.796875" defaultRowHeight="14.25"/>
  <cols>
    <col min="1" max="1" width="3.19921875" style="115" customWidth="1"/>
    <col min="2" max="2" width="5.3984375" style="115" customWidth="1"/>
    <col min="3" max="3" width="30" style="115" customWidth="1"/>
    <col min="4" max="13" width="11.09765625" style="116" bestFit="1" customWidth="1"/>
    <col min="14" max="16384" width="9" style="115" customWidth="1"/>
  </cols>
  <sheetData>
    <row r="1" spans="1:13" s="161" customFormat="1" ht="16.5" customHeight="1">
      <c r="A1" s="180" t="s">
        <v>171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s="161" customFormat="1" ht="30" customHeight="1">
      <c r="A2" s="172" t="s">
        <v>153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s="69" customFormat="1" ht="13.5" customHeight="1">
      <c r="A3" s="160" t="s">
        <v>0</v>
      </c>
      <c r="B3" s="181" t="s">
        <v>1</v>
      </c>
      <c r="C3" s="181"/>
      <c r="D3" s="160">
        <v>2011</v>
      </c>
      <c r="E3" s="160">
        <f>D3+1</f>
        <v>2012</v>
      </c>
      <c r="F3" s="160">
        <f>E3+1</f>
        <v>2013</v>
      </c>
      <c r="G3" s="160">
        <f>F3+1</f>
        <v>2014</v>
      </c>
      <c r="H3" s="160">
        <v>2015</v>
      </c>
      <c r="I3" s="160">
        <v>2016</v>
      </c>
      <c r="J3" s="160">
        <v>2017</v>
      </c>
      <c r="K3" s="160">
        <v>2018</v>
      </c>
      <c r="L3" s="160">
        <v>2019</v>
      </c>
      <c r="M3" s="160">
        <v>2020</v>
      </c>
    </row>
    <row r="4" spans="1:13" s="74" customFormat="1" ht="13.5" customHeight="1">
      <c r="A4" s="70" t="s">
        <v>2</v>
      </c>
      <c r="B4" s="179" t="s">
        <v>3</v>
      </c>
      <c r="C4" s="179"/>
      <c r="D4" s="71"/>
      <c r="E4" s="72"/>
      <c r="F4" s="72"/>
      <c r="G4" s="72"/>
      <c r="H4" s="72"/>
      <c r="I4" s="72"/>
      <c r="J4" s="72"/>
      <c r="K4" s="72"/>
      <c r="L4" s="72"/>
      <c r="M4" s="73"/>
    </row>
    <row r="5" spans="1:13" s="78" customFormat="1" ht="13.5" customHeight="1">
      <c r="A5" s="75" t="s">
        <v>4</v>
      </c>
      <c r="B5" s="173" t="s">
        <v>6</v>
      </c>
      <c r="C5" s="173"/>
      <c r="D5" s="60">
        <v>24658353.6</v>
      </c>
      <c r="E5" s="77">
        <v>24547181.45</v>
      </c>
      <c r="F5" s="77">
        <f>E5+(E5*3%)</f>
        <v>25283596.8935</v>
      </c>
      <c r="G5" s="77">
        <f aca="true" t="shared" si="0" ref="G5:M5">F5+(F5*3%)</f>
        <v>26042104.800305</v>
      </c>
      <c r="H5" s="77">
        <f t="shared" si="0"/>
        <v>26823367.944314152</v>
      </c>
      <c r="I5" s="77">
        <f t="shared" si="0"/>
        <v>27628068.98264358</v>
      </c>
      <c r="J5" s="77">
        <f t="shared" si="0"/>
        <v>28456911.052122887</v>
      </c>
      <c r="K5" s="77">
        <f t="shared" si="0"/>
        <v>29310618.383686572</v>
      </c>
      <c r="L5" s="77">
        <f t="shared" si="0"/>
        <v>30189936.93519717</v>
      </c>
      <c r="M5" s="77">
        <f t="shared" si="0"/>
        <v>31095635.043253087</v>
      </c>
    </row>
    <row r="6" spans="1:13" s="78" customFormat="1" ht="13.5" customHeight="1">
      <c r="A6" s="75" t="s">
        <v>5</v>
      </c>
      <c r="B6" s="173" t="s">
        <v>7</v>
      </c>
      <c r="C6" s="173"/>
      <c r="D6" s="60">
        <v>24978362.25</v>
      </c>
      <c r="E6" s="77">
        <v>24146153.65</v>
      </c>
      <c r="F6" s="77">
        <v>24540515.41</v>
      </c>
      <c r="G6" s="77">
        <v>24939118.29</v>
      </c>
      <c r="H6" s="167">
        <v>25341878.01</v>
      </c>
      <c r="I6" s="77">
        <v>25748962.93</v>
      </c>
      <c r="J6" s="77">
        <v>26039961.31</v>
      </c>
      <c r="K6" s="77">
        <v>26462726.17</v>
      </c>
      <c r="L6" s="77">
        <v>26889444.2</v>
      </c>
      <c r="M6" s="77">
        <v>27319985.57</v>
      </c>
    </row>
    <row r="7" spans="1:13" s="83" customFormat="1" ht="13.5" customHeight="1">
      <c r="A7" s="79"/>
      <c r="B7" s="183" t="s">
        <v>14</v>
      </c>
      <c r="C7" s="80" t="s">
        <v>8</v>
      </c>
      <c r="D7" s="81">
        <v>11324198.62</v>
      </c>
      <c r="E7" s="82">
        <f>D7+(D7*2.8%)</f>
        <v>11641276.181359999</v>
      </c>
      <c r="F7" s="82">
        <f aca="true" t="shared" si="1" ref="F7:M7">E7+(E7*2.8%)</f>
        <v>11967231.914438078</v>
      </c>
      <c r="G7" s="82">
        <f t="shared" si="1"/>
        <v>12302314.408042345</v>
      </c>
      <c r="H7" s="82">
        <f t="shared" si="1"/>
        <v>12646779.21146753</v>
      </c>
      <c r="I7" s="82">
        <f t="shared" si="1"/>
        <v>13000889.029388621</v>
      </c>
      <c r="J7" s="82">
        <f t="shared" si="1"/>
        <v>13364913.922211504</v>
      </c>
      <c r="K7" s="82">
        <f t="shared" si="1"/>
        <v>13739131.512033425</v>
      </c>
      <c r="L7" s="82">
        <f t="shared" si="1"/>
        <v>14123827.194370361</v>
      </c>
      <c r="M7" s="82">
        <f t="shared" si="1"/>
        <v>14519294.35581273</v>
      </c>
    </row>
    <row r="8" spans="1:13" s="83" customFormat="1" ht="13.5" customHeight="1">
      <c r="A8" s="84"/>
      <c r="B8" s="183"/>
      <c r="C8" s="80" t="s">
        <v>9</v>
      </c>
      <c r="D8" s="81">
        <v>3441897.5</v>
      </c>
      <c r="E8" s="82">
        <f>D8+(D8*2.8%)</f>
        <v>3538270.63</v>
      </c>
      <c r="F8" s="82">
        <f aca="true" t="shared" si="2" ref="F8:M8">E8+(E8*2.8%)</f>
        <v>3637342.2076399997</v>
      </c>
      <c r="G8" s="82">
        <f t="shared" si="2"/>
        <v>3739187.7894539195</v>
      </c>
      <c r="H8" s="82">
        <f t="shared" si="2"/>
        <v>3843885.0475586294</v>
      </c>
      <c r="I8" s="82">
        <f t="shared" si="2"/>
        <v>3951513.828890271</v>
      </c>
      <c r="J8" s="82">
        <f t="shared" si="2"/>
        <v>4062156.2160991984</v>
      </c>
      <c r="K8" s="82">
        <f t="shared" si="2"/>
        <v>4175896.590149976</v>
      </c>
      <c r="L8" s="82">
        <f t="shared" si="2"/>
        <v>4292821.694674175</v>
      </c>
      <c r="M8" s="82">
        <f t="shared" si="2"/>
        <v>4413020.702125052</v>
      </c>
    </row>
    <row r="9" spans="1:13" s="83" customFormat="1" ht="13.5" customHeight="1">
      <c r="A9" s="84"/>
      <c r="B9" s="183"/>
      <c r="C9" s="80" t="s">
        <v>10</v>
      </c>
      <c r="D9" s="81">
        <v>199126</v>
      </c>
      <c r="E9" s="82">
        <v>310580.23</v>
      </c>
      <c r="F9" s="82">
        <v>263006.05</v>
      </c>
      <c r="G9" s="82">
        <v>213274.45</v>
      </c>
      <c r="H9" s="82">
        <v>172041.5</v>
      </c>
      <c r="I9" s="82">
        <v>131309.87</v>
      </c>
      <c r="J9" s="82">
        <v>95994.84</v>
      </c>
      <c r="K9" s="82">
        <v>64879.03</v>
      </c>
      <c r="L9" s="82">
        <v>42724.28</v>
      </c>
      <c r="M9" s="82">
        <v>20969.53</v>
      </c>
    </row>
    <row r="10" spans="1:13" s="83" customFormat="1" ht="13.5" customHeight="1">
      <c r="A10" s="84"/>
      <c r="B10" s="183"/>
      <c r="C10" s="80" t="s">
        <v>11</v>
      </c>
      <c r="D10" s="81">
        <v>150000</v>
      </c>
      <c r="E10" s="82">
        <v>150000</v>
      </c>
      <c r="F10" s="82">
        <v>150000</v>
      </c>
      <c r="G10" s="82">
        <v>150000</v>
      </c>
      <c r="H10" s="82">
        <v>150000</v>
      </c>
      <c r="I10" s="82">
        <v>150000</v>
      </c>
      <c r="J10" s="82">
        <v>150000</v>
      </c>
      <c r="K10" s="82">
        <v>150000</v>
      </c>
      <c r="L10" s="82">
        <v>150000</v>
      </c>
      <c r="M10" s="82">
        <v>112500</v>
      </c>
    </row>
    <row r="11" spans="1:13" s="89" customFormat="1" ht="27" customHeight="1">
      <c r="A11" s="85"/>
      <c r="B11" s="183"/>
      <c r="C11" s="86" t="s">
        <v>12</v>
      </c>
      <c r="D11" s="162">
        <v>539010.8</v>
      </c>
      <c r="E11" s="88">
        <v>459722.64</v>
      </c>
      <c r="F11" s="88">
        <v>330671.54</v>
      </c>
      <c r="G11" s="88">
        <v>150000</v>
      </c>
      <c r="H11" s="88">
        <v>150000</v>
      </c>
      <c r="I11" s="88">
        <v>150000</v>
      </c>
      <c r="J11" s="88">
        <v>150000</v>
      </c>
      <c r="K11" s="88">
        <v>150000</v>
      </c>
      <c r="L11" s="88">
        <v>150000</v>
      </c>
      <c r="M11" s="88">
        <v>112500</v>
      </c>
    </row>
    <row r="12" spans="1:13" s="91" customFormat="1" ht="13.5" customHeight="1">
      <c r="A12" s="90" t="s">
        <v>13</v>
      </c>
      <c r="B12" s="171" t="s">
        <v>21</v>
      </c>
      <c r="C12" s="182"/>
      <c r="D12" s="77">
        <f aca="true" t="shared" si="3" ref="D12:M12">D5-D6</f>
        <v>-320008.6499999985</v>
      </c>
      <c r="E12" s="77">
        <f t="shared" si="3"/>
        <v>401027.80000000075</v>
      </c>
      <c r="F12" s="77">
        <f t="shared" si="3"/>
        <v>743081.4835000001</v>
      </c>
      <c r="G12" s="77">
        <f t="shared" si="3"/>
        <v>1102986.5103050023</v>
      </c>
      <c r="H12" s="77">
        <f t="shared" si="3"/>
        <v>1481489.9343141504</v>
      </c>
      <c r="I12" s="77">
        <f t="shared" si="3"/>
        <v>1879106.0526435785</v>
      </c>
      <c r="J12" s="77">
        <f t="shared" si="3"/>
        <v>2416949.7421228886</v>
      </c>
      <c r="K12" s="77">
        <f t="shared" si="3"/>
        <v>2847892.2136865705</v>
      </c>
      <c r="L12" s="77">
        <f t="shared" si="3"/>
        <v>3300492.7351971716</v>
      </c>
      <c r="M12" s="77">
        <f t="shared" si="3"/>
        <v>3775649.473253086</v>
      </c>
    </row>
    <row r="13" spans="1:13" s="74" customFormat="1" ht="13.5" customHeight="1">
      <c r="A13" s="92" t="s">
        <v>15</v>
      </c>
      <c r="B13" s="179" t="s">
        <v>16</v>
      </c>
      <c r="C13" s="179"/>
      <c r="D13" s="93"/>
      <c r="E13" s="94"/>
      <c r="F13" s="94"/>
      <c r="G13" s="94"/>
      <c r="H13" s="94"/>
      <c r="I13" s="94"/>
      <c r="J13" s="94"/>
      <c r="K13" s="94"/>
      <c r="L13" s="94"/>
      <c r="M13" s="95"/>
    </row>
    <row r="14" spans="1:13" s="78" customFormat="1" ht="13.5" customHeight="1">
      <c r="A14" s="75" t="s">
        <v>4</v>
      </c>
      <c r="B14" s="177" t="s">
        <v>17</v>
      </c>
      <c r="C14" s="178"/>
      <c r="D14" s="76">
        <v>8068055</v>
      </c>
      <c r="E14" s="77">
        <v>8310748.64</v>
      </c>
      <c r="F14" s="77">
        <v>8560071.1</v>
      </c>
      <c r="G14" s="96">
        <v>8816873.23</v>
      </c>
      <c r="H14" s="96">
        <v>9081379.43</v>
      </c>
      <c r="I14" s="96">
        <v>9353820.81</v>
      </c>
      <c r="J14" s="96">
        <v>9634435.44</v>
      </c>
      <c r="K14" s="96">
        <v>9923468.5</v>
      </c>
      <c r="L14" s="96">
        <v>10221172.55</v>
      </c>
      <c r="M14" s="96">
        <v>10527807.73</v>
      </c>
    </row>
    <row r="15" spans="1:13" s="83" customFormat="1" ht="13.5" customHeight="1">
      <c r="A15" s="97"/>
      <c r="B15" s="98" t="s">
        <v>14</v>
      </c>
      <c r="C15" s="80" t="s">
        <v>18</v>
      </c>
      <c r="D15" s="81">
        <v>1300000</v>
      </c>
      <c r="E15" s="82">
        <v>1500000</v>
      </c>
      <c r="F15" s="82">
        <v>1545000</v>
      </c>
      <c r="G15" s="99">
        <f>F15+(F15*3%)</f>
        <v>1591350</v>
      </c>
      <c r="H15" s="99">
        <f aca="true" t="shared" si="4" ref="H15:M15">G15+(G15*3%)</f>
        <v>1639090.5</v>
      </c>
      <c r="I15" s="99">
        <f t="shared" si="4"/>
        <v>1688263.215</v>
      </c>
      <c r="J15" s="99">
        <f t="shared" si="4"/>
        <v>1738911.1114500002</v>
      </c>
      <c r="K15" s="99">
        <f t="shared" si="4"/>
        <v>1791078.4447935002</v>
      </c>
      <c r="L15" s="99">
        <f t="shared" si="4"/>
        <v>1844810.7981373053</v>
      </c>
      <c r="M15" s="99">
        <f t="shared" si="4"/>
        <v>1900155.1220814246</v>
      </c>
    </row>
    <row r="16" spans="1:13" s="78" customFormat="1" ht="13.5" customHeight="1">
      <c r="A16" s="75" t="s">
        <v>5</v>
      </c>
      <c r="B16" s="177" t="s">
        <v>19</v>
      </c>
      <c r="C16" s="178"/>
      <c r="D16" s="76">
        <v>10512157.5</v>
      </c>
      <c r="E16" s="77">
        <v>7937138.88</v>
      </c>
      <c r="F16" s="77">
        <v>8348706.02</v>
      </c>
      <c r="G16" s="96">
        <v>9116366.18</v>
      </c>
      <c r="H16" s="96">
        <v>9771653.8</v>
      </c>
      <c r="I16" s="96">
        <v>10577381.3</v>
      </c>
      <c r="J16" s="96">
        <v>11477496.23</v>
      </c>
      <c r="K16" s="96">
        <v>12381400.71</v>
      </c>
      <c r="L16" s="96">
        <v>13131705.29</v>
      </c>
      <c r="M16" s="96">
        <v>13930996.55</v>
      </c>
    </row>
    <row r="17" spans="1:13" s="89" customFormat="1" ht="27" customHeight="1">
      <c r="A17" s="100"/>
      <c r="B17" s="101" t="s">
        <v>14</v>
      </c>
      <c r="C17" s="86" t="s">
        <v>12</v>
      </c>
      <c r="D17" s="87">
        <v>9156761.43</v>
      </c>
      <c r="E17" s="88">
        <v>1951219.8</v>
      </c>
      <c r="F17" s="88"/>
      <c r="G17" s="102"/>
      <c r="H17" s="102"/>
      <c r="I17" s="102"/>
      <c r="J17" s="102"/>
      <c r="K17" s="102"/>
      <c r="L17" s="102"/>
      <c r="M17" s="102"/>
    </row>
    <row r="18" spans="1:13" s="91" customFormat="1" ht="13.5" customHeight="1">
      <c r="A18" s="90" t="s">
        <v>13</v>
      </c>
      <c r="B18" s="171" t="s">
        <v>20</v>
      </c>
      <c r="C18" s="182"/>
      <c r="D18" s="77">
        <f aca="true" t="shared" si="5" ref="D18:M18">D14-D16</f>
        <v>-2444102.5</v>
      </c>
      <c r="E18" s="77">
        <f t="shared" si="5"/>
        <v>373609.7599999998</v>
      </c>
      <c r="F18" s="77">
        <f t="shared" si="5"/>
        <v>211365.08000000007</v>
      </c>
      <c r="G18" s="96">
        <f t="shared" si="5"/>
        <v>-299492.94999999925</v>
      </c>
      <c r="H18" s="96">
        <f t="shared" si="5"/>
        <v>-690274.370000001</v>
      </c>
      <c r="I18" s="96">
        <f t="shared" si="5"/>
        <v>-1223560.4900000002</v>
      </c>
      <c r="J18" s="96">
        <f t="shared" si="5"/>
        <v>-1843060.790000001</v>
      </c>
      <c r="K18" s="96">
        <f t="shared" si="5"/>
        <v>-2457932.210000001</v>
      </c>
      <c r="L18" s="96">
        <f t="shared" si="5"/>
        <v>-2910532.7399999984</v>
      </c>
      <c r="M18" s="96">
        <f t="shared" si="5"/>
        <v>-3403188.8200000003</v>
      </c>
    </row>
    <row r="19" spans="1:13" s="78" customFormat="1" ht="13.5" customHeight="1">
      <c r="A19" s="75" t="s">
        <v>4</v>
      </c>
      <c r="B19" s="177" t="s">
        <v>23</v>
      </c>
      <c r="C19" s="178"/>
      <c r="D19" s="60">
        <f aca="true" t="shared" si="6" ref="D19:M19">D5+D14</f>
        <v>32726408.6</v>
      </c>
      <c r="E19" s="77">
        <f t="shared" si="6"/>
        <v>32857930.09</v>
      </c>
      <c r="F19" s="77">
        <f t="shared" si="6"/>
        <v>33843667.9935</v>
      </c>
      <c r="G19" s="96">
        <f t="shared" si="6"/>
        <v>34858978.030305</v>
      </c>
      <c r="H19" s="96">
        <f t="shared" si="6"/>
        <v>35904747.37431415</v>
      </c>
      <c r="I19" s="96">
        <f t="shared" si="6"/>
        <v>36981889.79264358</v>
      </c>
      <c r="J19" s="96">
        <f t="shared" si="6"/>
        <v>38091346.49212289</v>
      </c>
      <c r="K19" s="96">
        <f t="shared" si="6"/>
        <v>39234086.88368657</v>
      </c>
      <c r="L19" s="96">
        <f t="shared" si="6"/>
        <v>40411109.48519717</v>
      </c>
      <c r="M19" s="96">
        <f t="shared" si="6"/>
        <v>41623442.77325308</v>
      </c>
    </row>
    <row r="20" spans="1:13" s="78" customFormat="1" ht="13.5" customHeight="1">
      <c r="A20" s="75" t="s">
        <v>5</v>
      </c>
      <c r="B20" s="177" t="s">
        <v>24</v>
      </c>
      <c r="C20" s="178"/>
      <c r="D20" s="60">
        <f aca="true" t="shared" si="7" ref="D20:M20">D6+D16</f>
        <v>35490519.75</v>
      </c>
      <c r="E20" s="77">
        <f t="shared" si="7"/>
        <v>32083292.529999997</v>
      </c>
      <c r="F20" s="77">
        <f t="shared" si="7"/>
        <v>32889221.43</v>
      </c>
      <c r="G20" s="96">
        <f t="shared" si="7"/>
        <v>34055484.47</v>
      </c>
      <c r="H20" s="170">
        <f t="shared" si="7"/>
        <v>35113531.81</v>
      </c>
      <c r="I20" s="96">
        <f t="shared" si="7"/>
        <v>36326344.230000004</v>
      </c>
      <c r="J20" s="96">
        <f t="shared" si="7"/>
        <v>37517457.54</v>
      </c>
      <c r="K20" s="96">
        <f t="shared" si="7"/>
        <v>38844126.88</v>
      </c>
      <c r="L20" s="96">
        <f t="shared" si="7"/>
        <v>40021149.489999995</v>
      </c>
      <c r="M20" s="96">
        <f t="shared" si="7"/>
        <v>41250982.120000005</v>
      </c>
    </row>
    <row r="21" spans="1:13" s="74" customFormat="1" ht="13.5" customHeight="1">
      <c r="A21" s="70" t="s">
        <v>22</v>
      </c>
      <c r="B21" s="184" t="s">
        <v>25</v>
      </c>
      <c r="C21" s="185"/>
      <c r="D21" s="103">
        <f aca="true" t="shared" si="8" ref="D21:M21">D19-D20</f>
        <v>-2764111.1499999985</v>
      </c>
      <c r="E21" s="103">
        <f t="shared" si="8"/>
        <v>774637.5600000024</v>
      </c>
      <c r="F21" s="103">
        <f t="shared" si="8"/>
        <v>954446.563500002</v>
      </c>
      <c r="G21" s="103">
        <f t="shared" si="8"/>
        <v>803493.5603049994</v>
      </c>
      <c r="H21" s="168">
        <f>H19-H20</f>
        <v>791215.5643141493</v>
      </c>
      <c r="I21" s="103">
        <f t="shared" si="8"/>
        <v>655545.5626435727</v>
      </c>
      <c r="J21" s="103">
        <f t="shared" si="8"/>
        <v>573888.9521228895</v>
      </c>
      <c r="K21" s="103">
        <f t="shared" si="8"/>
        <v>389960.00368656963</v>
      </c>
      <c r="L21" s="103">
        <f t="shared" si="8"/>
        <v>389959.99519717693</v>
      </c>
      <c r="M21" s="103">
        <f t="shared" si="8"/>
        <v>372460.65325307846</v>
      </c>
    </row>
    <row r="22" spans="1:13" s="74" customFormat="1" ht="13.5" customHeight="1">
      <c r="A22" s="70" t="s">
        <v>26</v>
      </c>
      <c r="B22" s="179" t="s">
        <v>27</v>
      </c>
      <c r="C22" s="179"/>
      <c r="D22" s="93"/>
      <c r="E22" s="94"/>
      <c r="F22" s="94"/>
      <c r="G22" s="94"/>
      <c r="H22" s="94"/>
      <c r="I22" s="94"/>
      <c r="J22" s="94"/>
      <c r="K22" s="94"/>
      <c r="L22" s="94"/>
      <c r="M22" s="95"/>
    </row>
    <row r="23" spans="1:13" s="78" customFormat="1" ht="13.5" customHeight="1">
      <c r="A23" s="75" t="s">
        <v>4</v>
      </c>
      <c r="B23" s="177" t="s">
        <v>28</v>
      </c>
      <c r="C23" s="178"/>
      <c r="D23" s="76">
        <f aca="true" t="shared" si="9" ref="D23:M23">SUM(D24:D26)</f>
        <v>0</v>
      </c>
      <c r="E23" s="77">
        <f t="shared" si="9"/>
        <v>774637.56</v>
      </c>
      <c r="F23" s="77">
        <f t="shared" si="9"/>
        <v>954446.56</v>
      </c>
      <c r="G23" s="77">
        <f t="shared" si="9"/>
        <v>803493.56</v>
      </c>
      <c r="H23" s="167">
        <f t="shared" si="9"/>
        <v>791215.56</v>
      </c>
      <c r="I23" s="77">
        <f t="shared" si="9"/>
        <v>655545.56</v>
      </c>
      <c r="J23" s="77">
        <f t="shared" si="9"/>
        <v>573888.95</v>
      </c>
      <c r="K23" s="77">
        <f t="shared" si="9"/>
        <v>389960</v>
      </c>
      <c r="L23" s="77">
        <f t="shared" si="9"/>
        <v>389960</v>
      </c>
      <c r="M23" s="77">
        <f t="shared" si="9"/>
        <v>372460.65</v>
      </c>
    </row>
    <row r="24" spans="1:13" s="108" customFormat="1" ht="13.5" customHeight="1">
      <c r="A24" s="104"/>
      <c r="B24" s="174" t="s">
        <v>14</v>
      </c>
      <c r="C24" s="105" t="s">
        <v>29</v>
      </c>
      <c r="D24" s="106"/>
      <c r="E24" s="107">
        <v>52096</v>
      </c>
      <c r="F24" s="107">
        <v>245628</v>
      </c>
      <c r="G24" s="107">
        <v>245628</v>
      </c>
      <c r="H24" s="169">
        <v>233350</v>
      </c>
      <c r="I24" s="107">
        <v>97680</v>
      </c>
      <c r="J24" s="107">
        <v>73260</v>
      </c>
      <c r="K24" s="107"/>
      <c r="L24" s="107"/>
      <c r="M24" s="107"/>
    </row>
    <row r="25" spans="1:13" s="108" customFormat="1" ht="13.5" customHeight="1">
      <c r="A25" s="109"/>
      <c r="B25" s="175"/>
      <c r="C25" s="105" t="s">
        <v>30</v>
      </c>
      <c r="D25" s="106"/>
      <c r="E25" s="107">
        <v>722541.56</v>
      </c>
      <c r="F25" s="107">
        <v>708818.56</v>
      </c>
      <c r="G25" s="107">
        <v>557865.56</v>
      </c>
      <c r="H25" s="107">
        <v>557865.56</v>
      </c>
      <c r="I25" s="107">
        <v>557865.56</v>
      </c>
      <c r="J25" s="107">
        <v>500628.95</v>
      </c>
      <c r="K25" s="107">
        <v>389960</v>
      </c>
      <c r="L25" s="107">
        <v>389960</v>
      </c>
      <c r="M25" s="107">
        <v>372460.65</v>
      </c>
    </row>
    <row r="26" spans="1:13" s="108" customFormat="1" ht="13.5" customHeight="1">
      <c r="A26" s="110"/>
      <c r="B26" s="176"/>
      <c r="C26" s="105" t="s">
        <v>31</v>
      </c>
      <c r="D26" s="106">
        <v>0</v>
      </c>
      <c r="E26" s="107"/>
      <c r="F26" s="107"/>
      <c r="G26" s="107"/>
      <c r="H26" s="107"/>
      <c r="I26" s="107"/>
      <c r="J26" s="107"/>
      <c r="K26" s="107"/>
      <c r="L26" s="107"/>
      <c r="M26" s="107"/>
    </row>
    <row r="27" spans="1:13" s="78" customFormat="1" ht="13.5" customHeight="1">
      <c r="A27" s="75" t="s">
        <v>5</v>
      </c>
      <c r="B27" s="177" t="s">
        <v>32</v>
      </c>
      <c r="C27" s="178"/>
      <c r="D27" s="76">
        <f aca="true" t="shared" si="10" ref="D27:M27">SUM(D28:D29)</f>
        <v>0</v>
      </c>
      <c r="E27" s="77">
        <f t="shared" si="10"/>
        <v>0</v>
      </c>
      <c r="F27" s="77">
        <f t="shared" si="10"/>
        <v>0</v>
      </c>
      <c r="G27" s="77">
        <f t="shared" si="10"/>
        <v>0</v>
      </c>
      <c r="H27" s="77">
        <f t="shared" si="10"/>
        <v>0</v>
      </c>
      <c r="I27" s="77">
        <f t="shared" si="10"/>
        <v>0</v>
      </c>
      <c r="J27" s="77">
        <f t="shared" si="10"/>
        <v>0</v>
      </c>
      <c r="K27" s="77">
        <f t="shared" si="10"/>
        <v>0</v>
      </c>
      <c r="L27" s="77">
        <f t="shared" si="10"/>
        <v>0</v>
      </c>
      <c r="M27" s="77">
        <f t="shared" si="10"/>
        <v>0</v>
      </c>
    </row>
    <row r="28" spans="1:13" s="108" customFormat="1" ht="13.5" customHeight="1">
      <c r="A28" s="104"/>
      <c r="B28" s="174" t="s">
        <v>14</v>
      </c>
      <c r="C28" s="105" t="s">
        <v>33</v>
      </c>
      <c r="D28" s="106"/>
      <c r="E28" s="107"/>
      <c r="F28" s="107"/>
      <c r="G28" s="107"/>
      <c r="H28" s="107"/>
      <c r="I28" s="107"/>
      <c r="J28" s="107"/>
      <c r="K28" s="107"/>
      <c r="L28" s="107"/>
      <c r="M28" s="107"/>
    </row>
    <row r="29" spans="1:13" s="108" customFormat="1" ht="13.5" customHeight="1">
      <c r="A29" s="110"/>
      <c r="B29" s="176"/>
      <c r="C29" s="105" t="s">
        <v>34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</row>
    <row r="30" spans="1:13" s="74" customFormat="1" ht="13.5" customHeight="1">
      <c r="A30" s="70" t="s">
        <v>35</v>
      </c>
      <c r="B30" s="179" t="s">
        <v>36</v>
      </c>
      <c r="C30" s="179"/>
      <c r="D30" s="93"/>
      <c r="E30" s="94"/>
      <c r="F30" s="94"/>
      <c r="G30" s="94"/>
      <c r="H30" s="94"/>
      <c r="I30" s="94"/>
      <c r="J30" s="94"/>
      <c r="K30" s="94"/>
      <c r="L30" s="94"/>
      <c r="M30" s="95"/>
    </row>
    <row r="31" spans="1:13" s="78" customFormat="1" ht="13.5" customHeight="1">
      <c r="A31" s="75" t="s">
        <v>4</v>
      </c>
      <c r="B31" s="177" t="s">
        <v>37</v>
      </c>
      <c r="C31" s="178"/>
      <c r="D31" s="76">
        <f aca="true" t="shared" si="11" ref="D31:M31">SUM(D32:D34)</f>
        <v>1245143.0899999999</v>
      </c>
      <c r="E31" s="77">
        <f t="shared" si="11"/>
        <v>0</v>
      </c>
      <c r="F31" s="77">
        <f t="shared" si="11"/>
        <v>0</v>
      </c>
      <c r="G31" s="77">
        <f t="shared" si="11"/>
        <v>0</v>
      </c>
      <c r="H31" s="77">
        <f t="shared" si="11"/>
        <v>0</v>
      </c>
      <c r="I31" s="77">
        <f t="shared" si="11"/>
        <v>0</v>
      </c>
      <c r="J31" s="77">
        <f t="shared" si="11"/>
        <v>0</v>
      </c>
      <c r="K31" s="77">
        <f t="shared" si="11"/>
        <v>0</v>
      </c>
      <c r="L31" s="77">
        <f t="shared" si="11"/>
        <v>0</v>
      </c>
      <c r="M31" s="77">
        <f t="shared" si="11"/>
        <v>0</v>
      </c>
    </row>
    <row r="32" spans="1:13" s="83" customFormat="1" ht="13.5" customHeight="1">
      <c r="A32" s="111"/>
      <c r="B32" s="174" t="s">
        <v>14</v>
      </c>
      <c r="C32" s="80" t="s">
        <v>38</v>
      </c>
      <c r="D32" s="81">
        <v>368128</v>
      </c>
      <c r="E32" s="82"/>
      <c r="F32" s="82"/>
      <c r="G32" s="82"/>
      <c r="H32" s="82"/>
      <c r="I32" s="82"/>
      <c r="J32" s="82"/>
      <c r="K32" s="82"/>
      <c r="L32" s="82"/>
      <c r="M32" s="82"/>
    </row>
    <row r="33" spans="1:13" s="83" customFormat="1" ht="13.5" customHeight="1">
      <c r="A33" s="112"/>
      <c r="B33" s="175"/>
      <c r="C33" s="80" t="s">
        <v>39</v>
      </c>
      <c r="D33" s="81">
        <v>877015.09</v>
      </c>
      <c r="E33" s="82"/>
      <c r="F33" s="82"/>
      <c r="G33" s="82"/>
      <c r="H33" s="82"/>
      <c r="I33" s="82"/>
      <c r="J33" s="82"/>
      <c r="K33" s="82"/>
      <c r="L33" s="82"/>
      <c r="M33" s="82"/>
    </row>
    <row r="34" spans="1:13" s="83" customFormat="1" ht="13.5" customHeight="1">
      <c r="A34" s="113"/>
      <c r="B34" s="176"/>
      <c r="C34" s="80" t="s">
        <v>40</v>
      </c>
      <c r="D34" s="81">
        <v>0</v>
      </c>
      <c r="E34" s="82"/>
      <c r="F34" s="82"/>
      <c r="G34" s="82"/>
      <c r="H34" s="82"/>
      <c r="I34" s="82"/>
      <c r="J34" s="82"/>
      <c r="K34" s="82"/>
      <c r="L34" s="82"/>
      <c r="M34" s="82"/>
    </row>
    <row r="35" spans="1:13" s="78" customFormat="1" ht="13.5" customHeight="1">
      <c r="A35" s="75" t="s">
        <v>5</v>
      </c>
      <c r="B35" s="177" t="s">
        <v>41</v>
      </c>
      <c r="C35" s="178"/>
      <c r="D35" s="76">
        <f aca="true" t="shared" si="12" ref="D35:M35">SUM(D36:D39)</f>
        <v>1518968.06</v>
      </c>
      <c r="E35" s="77">
        <f t="shared" si="12"/>
        <v>0</v>
      </c>
      <c r="F35" s="77">
        <f t="shared" si="12"/>
        <v>0</v>
      </c>
      <c r="G35" s="77">
        <f t="shared" si="12"/>
        <v>0</v>
      </c>
      <c r="H35" s="77">
        <f t="shared" si="12"/>
        <v>0</v>
      </c>
      <c r="I35" s="77">
        <f t="shared" si="12"/>
        <v>0</v>
      </c>
      <c r="J35" s="77">
        <f t="shared" si="12"/>
        <v>0</v>
      </c>
      <c r="K35" s="77">
        <f t="shared" si="12"/>
        <v>0</v>
      </c>
      <c r="L35" s="77">
        <f t="shared" si="12"/>
        <v>0</v>
      </c>
      <c r="M35" s="77">
        <f t="shared" si="12"/>
        <v>0</v>
      </c>
    </row>
    <row r="36" spans="1:13" s="83" customFormat="1" ht="13.5" customHeight="1">
      <c r="A36" s="111"/>
      <c r="B36" s="174" t="s">
        <v>14</v>
      </c>
      <c r="C36" s="80" t="s">
        <v>42</v>
      </c>
      <c r="D36" s="81"/>
      <c r="E36" s="82"/>
      <c r="F36" s="82"/>
      <c r="G36" s="82"/>
      <c r="H36" s="82"/>
      <c r="I36" s="82"/>
      <c r="J36" s="82"/>
      <c r="K36" s="82"/>
      <c r="L36" s="82"/>
      <c r="M36" s="82"/>
    </row>
    <row r="37" spans="1:13" s="83" customFormat="1" ht="13.5" customHeight="1">
      <c r="A37" s="84"/>
      <c r="B37" s="175"/>
      <c r="C37" s="80" t="s">
        <v>43</v>
      </c>
      <c r="D37" s="81"/>
      <c r="E37" s="82"/>
      <c r="F37" s="82"/>
      <c r="G37" s="82"/>
      <c r="H37" s="82"/>
      <c r="I37" s="82"/>
      <c r="J37" s="82"/>
      <c r="K37" s="82"/>
      <c r="L37" s="82"/>
      <c r="M37" s="82"/>
    </row>
    <row r="38" spans="1:13" s="83" customFormat="1" ht="13.5" customHeight="1">
      <c r="A38" s="84"/>
      <c r="B38" s="175"/>
      <c r="C38" s="80" t="s">
        <v>44</v>
      </c>
      <c r="D38" s="81"/>
      <c r="E38" s="82"/>
      <c r="F38" s="82"/>
      <c r="G38" s="82"/>
      <c r="H38" s="82"/>
      <c r="I38" s="82"/>
      <c r="J38" s="82"/>
      <c r="K38" s="82"/>
      <c r="L38" s="82"/>
      <c r="M38" s="82"/>
    </row>
    <row r="39" spans="1:13" s="83" customFormat="1" ht="13.5" customHeight="1">
      <c r="A39" s="114"/>
      <c r="B39" s="176"/>
      <c r="C39" s="80" t="s">
        <v>45</v>
      </c>
      <c r="D39" s="81">
        <v>1518968.06</v>
      </c>
      <c r="E39" s="82"/>
      <c r="F39" s="82"/>
      <c r="G39" s="82"/>
      <c r="H39" s="82"/>
      <c r="I39" s="82"/>
      <c r="J39" s="82"/>
      <c r="K39" s="82"/>
      <c r="L39" s="82"/>
      <c r="M39" s="82"/>
    </row>
  </sheetData>
  <sheetProtection/>
  <mergeCells count="25">
    <mergeCell ref="B7:B11"/>
    <mergeCell ref="B32:B34"/>
    <mergeCell ref="B20:C20"/>
    <mergeCell ref="B21:C21"/>
    <mergeCell ref="B22:C22"/>
    <mergeCell ref="B23:C23"/>
    <mergeCell ref="B18:C18"/>
    <mergeCell ref="B19:C19"/>
    <mergeCell ref="A1:M1"/>
    <mergeCell ref="B13:C13"/>
    <mergeCell ref="B14:C14"/>
    <mergeCell ref="B16:C16"/>
    <mergeCell ref="B3:C3"/>
    <mergeCell ref="A2:M2"/>
    <mergeCell ref="B4:C4"/>
    <mergeCell ref="B5:C5"/>
    <mergeCell ref="B6:C6"/>
    <mergeCell ref="B12:C12"/>
    <mergeCell ref="B36:B39"/>
    <mergeCell ref="B27:C27"/>
    <mergeCell ref="B24:B26"/>
    <mergeCell ref="B28:B29"/>
    <mergeCell ref="B30:C30"/>
    <mergeCell ref="B31:C31"/>
    <mergeCell ref="B35:C35"/>
  </mergeCells>
  <printOptions/>
  <pageMargins left="0.7086614173228347" right="0.7086614173228347" top="0.7874015748031497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2"/>
  <sheetViews>
    <sheetView workbookViewId="0" topLeftCell="A1">
      <selection activeCell="A1" sqref="A1:M1"/>
    </sheetView>
  </sheetViews>
  <sheetFormatPr defaultColWidth="8.796875" defaultRowHeight="14.25"/>
  <cols>
    <col min="1" max="1" width="3.5" style="12" customWidth="1"/>
    <col min="2" max="2" width="5.3984375" style="12" customWidth="1"/>
    <col min="3" max="3" width="27" style="12" customWidth="1"/>
    <col min="4" max="12" width="10.19921875" style="13" bestFit="1" customWidth="1"/>
    <col min="13" max="13" width="8.69921875" style="13" customWidth="1"/>
    <col min="14" max="16384" width="9" style="12" customWidth="1"/>
  </cols>
  <sheetData>
    <row r="1" spans="1:13" s="33" customFormat="1" ht="28.5" customHeight="1">
      <c r="A1" s="196" t="s">
        <v>172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s="33" customFormat="1" ht="28.5" customHeight="1">
      <c r="A2" s="198" t="s">
        <v>154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s="63" customFormat="1" ht="13.5" customHeight="1">
      <c r="A3" s="62" t="s">
        <v>0</v>
      </c>
      <c r="B3" s="197" t="s">
        <v>1</v>
      </c>
      <c r="C3" s="197"/>
      <c r="D3" s="62">
        <v>2011</v>
      </c>
      <c r="E3" s="62">
        <f>D3+1</f>
        <v>2012</v>
      </c>
      <c r="F3" s="62">
        <f>E3+1</f>
        <v>2013</v>
      </c>
      <c r="G3" s="62">
        <f>F3+1</f>
        <v>2014</v>
      </c>
      <c r="H3" s="62">
        <v>2015</v>
      </c>
      <c r="I3" s="62">
        <f>H3+1</f>
        <v>2016</v>
      </c>
      <c r="J3" s="62">
        <f>I3+1</f>
        <v>2017</v>
      </c>
      <c r="K3" s="62">
        <v>2018</v>
      </c>
      <c r="L3" s="62">
        <v>2019</v>
      </c>
      <c r="M3" s="62">
        <f>L3+1</f>
        <v>2020</v>
      </c>
    </row>
    <row r="4" spans="1:13" s="11" customFormat="1" ht="13.5" customHeight="1">
      <c r="A4" s="15" t="s">
        <v>2</v>
      </c>
      <c r="B4" s="191" t="s">
        <v>46</v>
      </c>
      <c r="C4" s="191"/>
      <c r="D4" s="64">
        <v>3506736.71</v>
      </c>
      <c r="E4" s="64">
        <v>120281</v>
      </c>
      <c r="F4" s="64">
        <v>0</v>
      </c>
      <c r="G4" s="64">
        <v>0</v>
      </c>
      <c r="H4" s="64">
        <v>0</v>
      </c>
      <c r="I4" s="64">
        <v>0</v>
      </c>
      <c r="J4" s="64">
        <v>0</v>
      </c>
      <c r="K4" s="64">
        <v>0</v>
      </c>
      <c r="L4" s="64">
        <v>0</v>
      </c>
      <c r="M4" s="64">
        <v>0</v>
      </c>
    </row>
    <row r="5" spans="1:13" s="11" customFormat="1" ht="13.5" customHeight="1">
      <c r="A5" s="19" t="s">
        <v>15</v>
      </c>
      <c r="B5" s="191" t="s">
        <v>47</v>
      </c>
      <c r="C5" s="191"/>
      <c r="D5" s="64">
        <v>742625.56</v>
      </c>
      <c r="E5" s="64">
        <v>894918.56</v>
      </c>
      <c r="F5" s="64">
        <v>954446.56</v>
      </c>
      <c r="G5" s="64">
        <v>803493.56</v>
      </c>
      <c r="H5" s="64">
        <v>791215.56</v>
      </c>
      <c r="I5" s="64">
        <v>655545.56</v>
      </c>
      <c r="J5" s="64">
        <v>573888.95</v>
      </c>
      <c r="K5" s="64">
        <v>389960</v>
      </c>
      <c r="L5" s="64">
        <v>389960</v>
      </c>
      <c r="M5" s="64">
        <v>372460.65</v>
      </c>
    </row>
    <row r="6" spans="1:13" s="11" customFormat="1" ht="13.5" customHeight="1">
      <c r="A6" s="15" t="s">
        <v>22</v>
      </c>
      <c r="B6" s="189" t="s">
        <v>48</v>
      </c>
      <c r="C6" s="190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18" customFormat="1" ht="13.5" customHeight="1">
      <c r="A7" s="16" t="s">
        <v>4</v>
      </c>
      <c r="B7" s="192" t="s">
        <v>49</v>
      </c>
      <c r="C7" s="193"/>
      <c r="D7" s="60">
        <v>4460465.31</v>
      </c>
      <c r="E7" s="60">
        <v>5705608.4</v>
      </c>
      <c r="F7" s="60">
        <v>4930970.84</v>
      </c>
      <c r="G7" s="60">
        <v>3976524.28</v>
      </c>
      <c r="H7" s="60">
        <v>3173030.72</v>
      </c>
      <c r="I7" s="60">
        <v>2381815.16</v>
      </c>
      <c r="J7" s="60">
        <v>1726269.6</v>
      </c>
      <c r="K7" s="60">
        <v>1152380.65</v>
      </c>
      <c r="L7" s="60">
        <v>762420.65</v>
      </c>
      <c r="M7" s="60">
        <v>372460.65</v>
      </c>
    </row>
    <row r="8" spans="1:13" s="18" customFormat="1" ht="13.5" customHeight="1">
      <c r="A8" s="16" t="s">
        <v>5</v>
      </c>
      <c r="B8" s="192" t="s">
        <v>50</v>
      </c>
      <c r="C8" s="193"/>
      <c r="D8" s="60">
        <v>5705608.4</v>
      </c>
      <c r="E8" s="60">
        <v>4930970.84</v>
      </c>
      <c r="F8" s="60">
        <v>3976524.28</v>
      </c>
      <c r="G8" s="60">
        <v>3173030.72</v>
      </c>
      <c r="H8" s="60">
        <v>2381815.16</v>
      </c>
      <c r="I8" s="60">
        <v>1726269.6</v>
      </c>
      <c r="J8" s="60">
        <v>1152380.65</v>
      </c>
      <c r="K8" s="60">
        <v>762420.65</v>
      </c>
      <c r="L8" s="60">
        <v>372460.65</v>
      </c>
      <c r="M8" s="60">
        <v>0</v>
      </c>
    </row>
    <row r="9" spans="1:13" s="11" customFormat="1" ht="13.5" customHeight="1">
      <c r="A9" s="15" t="s">
        <v>26</v>
      </c>
      <c r="B9" s="191" t="s">
        <v>127</v>
      </c>
      <c r="C9" s="191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s="29" customFormat="1" ht="27" customHeight="1">
      <c r="A10" s="27" t="s">
        <v>128</v>
      </c>
      <c r="B10" s="194" t="s">
        <v>129</v>
      </c>
      <c r="C10" s="195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s="18" customFormat="1" ht="13.5" customHeight="1">
      <c r="A11" s="16"/>
      <c r="B11" s="17" t="s">
        <v>134</v>
      </c>
      <c r="C11" s="30" t="s">
        <v>137</v>
      </c>
      <c r="D11" s="22">
        <f>D8/'Prognoza_ Tabela 3'!G4</f>
        <v>0.17434263776808068</v>
      </c>
      <c r="E11" s="22">
        <f>E8/'Prognoza_ Tabela 3'!H4</f>
        <v>0.15006943001259518</v>
      </c>
      <c r="F11" s="22">
        <f>F8/'Prognoza_ Tabela 3'!I4</f>
        <v>0.11749684699831373</v>
      </c>
      <c r="G11" s="22" t="s">
        <v>126</v>
      </c>
      <c r="H11" s="22" t="s">
        <v>126</v>
      </c>
      <c r="I11" s="22" t="s">
        <v>126</v>
      </c>
      <c r="J11" s="22" t="s">
        <v>126</v>
      </c>
      <c r="K11" s="22" t="s">
        <v>126</v>
      </c>
      <c r="L11" s="22" t="s">
        <v>126</v>
      </c>
      <c r="M11" s="22" t="s">
        <v>126</v>
      </c>
    </row>
    <row r="12" spans="1:13" s="18" customFormat="1" ht="13.5" customHeight="1">
      <c r="A12" s="16"/>
      <c r="B12" s="17" t="s">
        <v>135</v>
      </c>
      <c r="C12" s="30" t="s">
        <v>136</v>
      </c>
      <c r="D12" s="22">
        <f>D14</f>
        <v>0.033359956277023324</v>
      </c>
      <c r="E12" s="22">
        <f>E14</f>
        <v>0.041442301029620335</v>
      </c>
      <c r="F12" s="22">
        <f>F14</f>
        <v>0.040588545257455436</v>
      </c>
      <c r="G12" s="22" t="s">
        <v>126</v>
      </c>
      <c r="H12" s="22" t="s">
        <v>126</v>
      </c>
      <c r="I12" s="22" t="s">
        <v>126</v>
      </c>
      <c r="J12" s="22" t="s">
        <v>126</v>
      </c>
      <c r="K12" s="22" t="s">
        <v>126</v>
      </c>
      <c r="L12" s="22" t="s">
        <v>126</v>
      </c>
      <c r="M12" s="22" t="s">
        <v>126</v>
      </c>
    </row>
    <row r="13" spans="1:13" s="29" customFormat="1" ht="48" customHeight="1">
      <c r="A13" s="27" t="s">
        <v>130</v>
      </c>
      <c r="B13" s="194" t="s">
        <v>131</v>
      </c>
      <c r="C13" s="195"/>
      <c r="D13" s="31" t="s">
        <v>126</v>
      </c>
      <c r="E13" s="31" t="s">
        <v>126</v>
      </c>
      <c r="F13" s="31" t="s">
        <v>126</v>
      </c>
      <c r="G13" s="31">
        <f>'Prognoza_ Tabela 3'!J46</f>
        <v>0.05180277510431969</v>
      </c>
      <c r="H13" s="31">
        <f>'Prognoza_ Tabela 3'!K46</f>
        <v>0.06758527476753805</v>
      </c>
      <c r="I13" s="31">
        <f>'Prognoza_ Tabela 3'!L46</f>
        <v>0.07727086516827385</v>
      </c>
      <c r="J13" s="31">
        <f>'Prognoza_ Tabela 3'!M46</f>
        <v>0.08689163717743549</v>
      </c>
      <c r="K13" s="31">
        <f>'Prognoza_ Tabela 3'!N46</f>
        <v>0.09749497815875463</v>
      </c>
      <c r="L13" s="31">
        <f>'Prognoza_ Tabela 3'!O46</f>
        <v>0.10793681806439197</v>
      </c>
      <c r="M13" s="31">
        <f>'Prognoza_ Tabela 3'!P46</f>
        <v>0.11822158371899982</v>
      </c>
    </row>
    <row r="14" spans="1:13" s="29" customFormat="1" ht="27" customHeight="1">
      <c r="A14" s="27" t="s">
        <v>132</v>
      </c>
      <c r="B14" s="194" t="s">
        <v>133</v>
      </c>
      <c r="C14" s="195"/>
      <c r="D14" s="31">
        <f>'Prognoza_ Tabela 3'!G48</f>
        <v>0.033359956277023324</v>
      </c>
      <c r="E14" s="31">
        <f>'Prognoza_ Tabela 3'!H48</f>
        <v>0.041442301029620335</v>
      </c>
      <c r="F14" s="31">
        <f>'Prognoza_ Tabela 3'!I48</f>
        <v>0.040588545257455436</v>
      </c>
      <c r="G14" s="31">
        <f>'Prognoza_ Tabela 3'!J48</f>
        <v>0.033600603233652424</v>
      </c>
      <c r="H14" s="31">
        <f>'Prognoza_ Tabela 3'!K48</f>
        <v>0.031020311838300826</v>
      </c>
      <c r="I14" s="31">
        <f>'Prognoza_ Tabela 3'!L48</f>
        <v>0.025363067847751303</v>
      </c>
      <c r="J14" s="31">
        <f>'Prognoza_ Tabela 3'!M48</f>
        <v>0.021508942464067978</v>
      </c>
      <c r="K14" s="31">
        <f>'Prognoza_ Tabela 3'!N48</f>
        <v>0.015372568802129272</v>
      </c>
      <c r="L14" s="31">
        <f>'Prognoza_ Tabela 3'!O48</f>
        <v>0.01439564509232337</v>
      </c>
      <c r="M14" s="31">
        <f>'Prognoza_ Tabela 3'!P48</f>
        <v>0.012141233312674693</v>
      </c>
    </row>
    <row r="15" spans="1:13" s="11" customFormat="1" ht="13.5" customHeight="1">
      <c r="A15" s="15" t="s">
        <v>35</v>
      </c>
      <c r="B15" s="191" t="s">
        <v>51</v>
      </c>
      <c r="C15" s="191"/>
      <c r="D15" s="14">
        <f>SUM(D16:D22)</f>
        <v>742625.56</v>
      </c>
      <c r="E15" s="64">
        <f aca="true" t="shared" si="0" ref="E15:M15">SUM(E16:E22)</f>
        <v>894918.56</v>
      </c>
      <c r="F15" s="64">
        <f t="shared" si="0"/>
        <v>954446.56</v>
      </c>
      <c r="G15" s="64">
        <f t="shared" si="0"/>
        <v>803493.56</v>
      </c>
      <c r="H15" s="64">
        <f t="shared" si="0"/>
        <v>791215.56</v>
      </c>
      <c r="I15" s="64">
        <f t="shared" si="0"/>
        <v>655545.56</v>
      </c>
      <c r="J15" s="64">
        <f t="shared" si="0"/>
        <v>573888.95</v>
      </c>
      <c r="K15" s="64">
        <f t="shared" si="0"/>
        <v>389960</v>
      </c>
      <c r="L15" s="64">
        <f t="shared" si="0"/>
        <v>389960</v>
      </c>
      <c r="M15" s="64">
        <f t="shared" si="0"/>
        <v>372460.65</v>
      </c>
    </row>
    <row r="16" spans="1:13" s="21" customFormat="1" ht="13.5" customHeight="1">
      <c r="A16" s="25"/>
      <c r="B16" s="186" t="s">
        <v>14</v>
      </c>
      <c r="C16" s="20" t="s">
        <v>52</v>
      </c>
      <c r="D16" s="23"/>
      <c r="E16" s="61"/>
      <c r="F16" s="61"/>
      <c r="G16" s="61"/>
      <c r="H16" s="61"/>
      <c r="I16" s="61"/>
      <c r="J16" s="61"/>
      <c r="K16" s="61"/>
      <c r="L16" s="61"/>
      <c r="M16" s="61"/>
    </row>
    <row r="17" spans="1:13" s="21" customFormat="1" ht="13.5" customHeight="1">
      <c r="A17" s="24"/>
      <c r="B17" s="187"/>
      <c r="C17" s="20" t="s">
        <v>53</v>
      </c>
      <c r="D17" s="23"/>
      <c r="E17" s="61">
        <v>774637.56</v>
      </c>
      <c r="F17" s="61">
        <v>954446.56</v>
      </c>
      <c r="G17" s="61">
        <v>803493.56</v>
      </c>
      <c r="H17" s="61">
        <v>791215.56</v>
      </c>
      <c r="I17" s="61">
        <v>655545.56</v>
      </c>
      <c r="J17" s="61">
        <v>573888.95</v>
      </c>
      <c r="K17" s="61">
        <v>389960</v>
      </c>
      <c r="L17" s="61">
        <v>389960</v>
      </c>
      <c r="M17" s="61">
        <v>372460.65</v>
      </c>
    </row>
    <row r="18" spans="1:13" s="21" customFormat="1" ht="13.5" customHeight="1">
      <c r="A18" s="24"/>
      <c r="B18" s="187"/>
      <c r="C18" s="20" t="s">
        <v>45</v>
      </c>
      <c r="D18" s="23"/>
      <c r="E18" s="61"/>
      <c r="F18" s="61"/>
      <c r="G18" s="61"/>
      <c r="H18" s="61"/>
      <c r="I18" s="61"/>
      <c r="J18" s="61"/>
      <c r="K18" s="61"/>
      <c r="L18" s="61"/>
      <c r="M18" s="61"/>
    </row>
    <row r="19" spans="1:13" s="21" customFormat="1" ht="13.5" customHeight="1">
      <c r="A19" s="24"/>
      <c r="B19" s="187"/>
      <c r="C19" s="20" t="s">
        <v>42</v>
      </c>
      <c r="D19" s="23"/>
      <c r="E19" s="61"/>
      <c r="F19" s="61"/>
      <c r="G19" s="61"/>
      <c r="H19" s="61"/>
      <c r="I19" s="61"/>
      <c r="J19" s="61"/>
      <c r="K19" s="61"/>
      <c r="L19" s="61"/>
      <c r="M19" s="61"/>
    </row>
    <row r="20" spans="1:13" s="21" customFormat="1" ht="13.5" customHeight="1">
      <c r="A20" s="24"/>
      <c r="B20" s="187"/>
      <c r="C20" s="20" t="s">
        <v>54</v>
      </c>
      <c r="D20" s="23">
        <v>742625.56</v>
      </c>
      <c r="E20" s="61"/>
      <c r="F20" s="61"/>
      <c r="G20" s="61"/>
      <c r="H20" s="61"/>
      <c r="I20" s="61"/>
      <c r="J20" s="61"/>
      <c r="K20" s="61"/>
      <c r="L20" s="61"/>
      <c r="M20" s="61"/>
    </row>
    <row r="21" spans="1:13" s="21" customFormat="1" ht="13.5" customHeight="1">
      <c r="A21" s="24"/>
      <c r="B21" s="187"/>
      <c r="C21" s="20" t="s">
        <v>55</v>
      </c>
      <c r="D21" s="23"/>
      <c r="E21" s="61">
        <v>120281</v>
      </c>
      <c r="F21" s="61"/>
      <c r="G21" s="61"/>
      <c r="H21" s="61"/>
      <c r="I21" s="61"/>
      <c r="J21" s="61"/>
      <c r="K21" s="61"/>
      <c r="L21" s="61"/>
      <c r="M21" s="61"/>
    </row>
    <row r="22" spans="1:13" s="32" customFormat="1" ht="13.5" customHeight="1">
      <c r="A22" s="26"/>
      <c r="B22" s="188"/>
      <c r="C22" s="20" t="s">
        <v>40</v>
      </c>
      <c r="D22" s="23"/>
      <c r="E22" s="61"/>
      <c r="F22" s="61"/>
      <c r="G22" s="61"/>
      <c r="H22" s="61"/>
      <c r="I22" s="61"/>
      <c r="J22" s="61"/>
      <c r="K22" s="61"/>
      <c r="L22" s="61"/>
      <c r="M22" s="61"/>
    </row>
  </sheetData>
  <sheetProtection/>
  <mergeCells count="14">
    <mergeCell ref="A1:M1"/>
    <mergeCell ref="B3:C3"/>
    <mergeCell ref="B4:C4"/>
    <mergeCell ref="B5:C5"/>
    <mergeCell ref="A2:M2"/>
    <mergeCell ref="B16:B22"/>
    <mergeCell ref="B6:C6"/>
    <mergeCell ref="B15:C15"/>
    <mergeCell ref="B7:C7"/>
    <mergeCell ref="B8:C8"/>
    <mergeCell ref="B9:C9"/>
    <mergeCell ref="B10:C10"/>
    <mergeCell ref="B13:C13"/>
    <mergeCell ref="B14:C14"/>
  </mergeCells>
  <printOptions/>
  <pageMargins left="0.7086614173228347" right="0.7086614173228347" top="0.7874015748031497" bottom="0.35433070866141736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O10"/>
  <sheetViews>
    <sheetView workbookViewId="0" topLeftCell="A1">
      <selection activeCell="A1" sqref="A1:T1"/>
    </sheetView>
  </sheetViews>
  <sheetFormatPr defaultColWidth="8.796875" defaultRowHeight="14.25"/>
  <cols>
    <col min="1" max="1" width="3.19921875" style="157" customWidth="1"/>
    <col min="2" max="2" width="5.3984375" style="157" customWidth="1"/>
    <col min="3" max="3" width="21.3984375" style="157" customWidth="1"/>
    <col min="4" max="4" width="11.5" style="158" customWidth="1"/>
    <col min="5" max="5" width="8.69921875" style="158" customWidth="1"/>
    <col min="6" max="10" width="8.09765625" style="158" customWidth="1"/>
    <col min="11" max="11" width="8.09765625" style="157" customWidth="1"/>
    <col min="12" max="38" width="5.3984375" style="157" customWidth="1"/>
    <col min="39" max="41" width="8.09765625" style="157" customWidth="1"/>
    <col min="42" max="16384" width="9" style="157" customWidth="1"/>
  </cols>
  <sheetData>
    <row r="1" spans="1:41" s="59" customFormat="1" ht="28.5" customHeight="1">
      <c r="A1" s="212" t="s">
        <v>174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</row>
    <row r="2" spans="1:29" s="59" customFormat="1" ht="28.5" customHeight="1">
      <c r="A2" s="213" t="s">
        <v>156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</row>
    <row r="3" spans="1:41" s="143" customFormat="1" ht="12.75">
      <c r="A3" s="199" t="s">
        <v>0</v>
      </c>
      <c r="B3" s="199" t="s">
        <v>56</v>
      </c>
      <c r="C3" s="199"/>
      <c r="D3" s="199" t="s">
        <v>64</v>
      </c>
      <c r="E3" s="199" t="s">
        <v>57</v>
      </c>
      <c r="F3" s="199" t="s">
        <v>58</v>
      </c>
      <c r="G3" s="199"/>
      <c r="H3" s="199"/>
      <c r="I3" s="199" t="s">
        <v>62</v>
      </c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 t="s">
        <v>61</v>
      </c>
      <c r="AN3" s="199"/>
      <c r="AO3" s="199"/>
    </row>
    <row r="4" spans="1:41" s="144" customFormat="1" ht="13.5" customHeight="1">
      <c r="A4" s="199"/>
      <c r="B4" s="199"/>
      <c r="C4" s="199"/>
      <c r="D4" s="199"/>
      <c r="E4" s="199"/>
      <c r="F4" s="199"/>
      <c r="G4" s="199"/>
      <c r="H4" s="199"/>
      <c r="I4" s="211">
        <v>2011</v>
      </c>
      <c r="J4" s="211"/>
      <c r="K4" s="211"/>
      <c r="L4" s="211">
        <v>2012</v>
      </c>
      <c r="M4" s="211"/>
      <c r="N4" s="211"/>
      <c r="O4" s="211">
        <v>2013</v>
      </c>
      <c r="P4" s="211"/>
      <c r="Q4" s="211"/>
      <c r="R4" s="211">
        <v>2014</v>
      </c>
      <c r="S4" s="211"/>
      <c r="T4" s="211"/>
      <c r="U4" s="211">
        <v>2015</v>
      </c>
      <c r="V4" s="211"/>
      <c r="W4" s="211"/>
      <c r="X4" s="211">
        <v>2016</v>
      </c>
      <c r="Y4" s="211"/>
      <c r="Z4" s="211"/>
      <c r="AA4" s="211">
        <v>2017</v>
      </c>
      <c r="AB4" s="211"/>
      <c r="AC4" s="211"/>
      <c r="AD4" s="211">
        <v>2018</v>
      </c>
      <c r="AE4" s="211"/>
      <c r="AF4" s="211"/>
      <c r="AG4" s="211">
        <v>2019</v>
      </c>
      <c r="AH4" s="211"/>
      <c r="AI4" s="211"/>
      <c r="AJ4" s="211">
        <v>2020</v>
      </c>
      <c r="AK4" s="211"/>
      <c r="AL4" s="211"/>
      <c r="AM4" s="199"/>
      <c r="AN4" s="199"/>
      <c r="AO4" s="199"/>
    </row>
    <row r="5" spans="1:41" s="144" customFormat="1" ht="13.5" customHeight="1">
      <c r="A5" s="199"/>
      <c r="B5" s="199"/>
      <c r="C5" s="199"/>
      <c r="D5" s="199"/>
      <c r="E5" s="199"/>
      <c r="F5" s="205" t="s">
        <v>59</v>
      </c>
      <c r="G5" s="200" t="s">
        <v>14</v>
      </c>
      <c r="H5" s="201"/>
      <c r="I5" s="209" t="s">
        <v>59</v>
      </c>
      <c r="J5" s="202" t="s">
        <v>14</v>
      </c>
      <c r="K5" s="203"/>
      <c r="L5" s="209" t="s">
        <v>59</v>
      </c>
      <c r="M5" s="202" t="s">
        <v>14</v>
      </c>
      <c r="N5" s="203"/>
      <c r="O5" s="209" t="s">
        <v>59</v>
      </c>
      <c r="P5" s="202" t="s">
        <v>14</v>
      </c>
      <c r="Q5" s="203"/>
      <c r="R5" s="209" t="s">
        <v>59</v>
      </c>
      <c r="S5" s="202" t="s">
        <v>14</v>
      </c>
      <c r="T5" s="203"/>
      <c r="U5" s="209" t="s">
        <v>59</v>
      </c>
      <c r="V5" s="202" t="s">
        <v>14</v>
      </c>
      <c r="W5" s="203"/>
      <c r="X5" s="209" t="s">
        <v>59</v>
      </c>
      <c r="Y5" s="202" t="s">
        <v>14</v>
      </c>
      <c r="Z5" s="203"/>
      <c r="AA5" s="209" t="s">
        <v>59</v>
      </c>
      <c r="AB5" s="202" t="s">
        <v>14</v>
      </c>
      <c r="AC5" s="203"/>
      <c r="AD5" s="209" t="s">
        <v>59</v>
      </c>
      <c r="AE5" s="202" t="s">
        <v>14</v>
      </c>
      <c r="AF5" s="203"/>
      <c r="AG5" s="209" t="s">
        <v>59</v>
      </c>
      <c r="AH5" s="202" t="s">
        <v>14</v>
      </c>
      <c r="AI5" s="203"/>
      <c r="AJ5" s="209" t="s">
        <v>59</v>
      </c>
      <c r="AK5" s="202" t="s">
        <v>14</v>
      </c>
      <c r="AL5" s="203"/>
      <c r="AM5" s="209" t="s">
        <v>59</v>
      </c>
      <c r="AN5" s="200" t="s">
        <v>14</v>
      </c>
      <c r="AO5" s="201"/>
    </row>
    <row r="6" spans="1:41" s="144" customFormat="1" ht="13.5" customHeight="1">
      <c r="A6" s="199"/>
      <c r="B6" s="199"/>
      <c r="C6" s="199"/>
      <c r="D6" s="199"/>
      <c r="E6" s="199"/>
      <c r="F6" s="206"/>
      <c r="G6" s="145" t="s">
        <v>63</v>
      </c>
      <c r="H6" s="145" t="s">
        <v>60</v>
      </c>
      <c r="I6" s="210"/>
      <c r="J6" s="146" t="s">
        <v>63</v>
      </c>
      <c r="K6" s="147" t="s">
        <v>60</v>
      </c>
      <c r="L6" s="210"/>
      <c r="M6" s="146" t="s">
        <v>63</v>
      </c>
      <c r="N6" s="147" t="s">
        <v>60</v>
      </c>
      <c r="O6" s="210"/>
      <c r="P6" s="146" t="s">
        <v>63</v>
      </c>
      <c r="Q6" s="147" t="s">
        <v>60</v>
      </c>
      <c r="R6" s="210"/>
      <c r="S6" s="146" t="s">
        <v>63</v>
      </c>
      <c r="T6" s="147" t="s">
        <v>60</v>
      </c>
      <c r="U6" s="210"/>
      <c r="V6" s="146" t="s">
        <v>63</v>
      </c>
      <c r="W6" s="147" t="s">
        <v>60</v>
      </c>
      <c r="X6" s="210"/>
      <c r="Y6" s="146" t="s">
        <v>63</v>
      </c>
      <c r="Z6" s="147" t="s">
        <v>60</v>
      </c>
      <c r="AA6" s="210"/>
      <c r="AB6" s="146" t="s">
        <v>63</v>
      </c>
      <c r="AC6" s="147" t="s">
        <v>60</v>
      </c>
      <c r="AD6" s="210"/>
      <c r="AE6" s="146" t="s">
        <v>63</v>
      </c>
      <c r="AF6" s="147" t="s">
        <v>60</v>
      </c>
      <c r="AG6" s="210"/>
      <c r="AH6" s="146" t="s">
        <v>63</v>
      </c>
      <c r="AI6" s="147" t="s">
        <v>60</v>
      </c>
      <c r="AJ6" s="210"/>
      <c r="AK6" s="146" t="s">
        <v>63</v>
      </c>
      <c r="AL6" s="147" t="s">
        <v>60</v>
      </c>
      <c r="AM6" s="210"/>
      <c r="AN6" s="146" t="s">
        <v>63</v>
      </c>
      <c r="AO6" s="147" t="s">
        <v>60</v>
      </c>
    </row>
    <row r="7" spans="1:41" s="154" customFormat="1" ht="119.25" customHeight="1">
      <c r="A7" s="148" t="s">
        <v>2</v>
      </c>
      <c r="B7" s="207" t="s">
        <v>168</v>
      </c>
      <c r="C7" s="208"/>
      <c r="D7" s="149" t="s">
        <v>146</v>
      </c>
      <c r="E7" s="150" t="s">
        <v>144</v>
      </c>
      <c r="F7" s="150">
        <v>61226</v>
      </c>
      <c r="G7" s="150">
        <v>61226</v>
      </c>
      <c r="H7" s="150"/>
      <c r="I7" s="150">
        <v>31389</v>
      </c>
      <c r="J7" s="150">
        <v>31389</v>
      </c>
      <c r="K7" s="151"/>
      <c r="L7" s="152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3">
        <v>0</v>
      </c>
      <c r="AN7" s="151"/>
      <c r="AO7" s="151"/>
    </row>
    <row r="8" spans="1:41" s="154" customFormat="1" ht="78.75" customHeight="1">
      <c r="A8" s="148" t="s">
        <v>15</v>
      </c>
      <c r="B8" s="207" t="s">
        <v>169</v>
      </c>
      <c r="C8" s="208"/>
      <c r="D8" s="149" t="s">
        <v>147</v>
      </c>
      <c r="E8" s="150" t="s">
        <v>144</v>
      </c>
      <c r="F8" s="159">
        <v>61166.4</v>
      </c>
      <c r="G8" s="159">
        <v>61166</v>
      </c>
      <c r="H8" s="150"/>
      <c r="I8" s="159">
        <v>20256</v>
      </c>
      <c r="J8" s="159">
        <v>20256</v>
      </c>
      <c r="K8" s="151"/>
      <c r="L8" s="152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3">
        <v>20000</v>
      </c>
      <c r="AN8" s="151"/>
      <c r="AO8" s="151"/>
    </row>
    <row r="9" spans="1:41" s="154" customFormat="1" ht="119.25" customHeight="1">
      <c r="A9" s="148" t="s">
        <v>22</v>
      </c>
      <c r="B9" s="207" t="s">
        <v>170</v>
      </c>
      <c r="C9" s="208"/>
      <c r="D9" s="149" t="s">
        <v>146</v>
      </c>
      <c r="E9" s="150" t="s">
        <v>148</v>
      </c>
      <c r="F9" s="150">
        <v>64150</v>
      </c>
      <c r="G9" s="150">
        <v>54528</v>
      </c>
      <c r="H9" s="150"/>
      <c r="I9" s="150">
        <v>27853</v>
      </c>
      <c r="J9" s="150">
        <v>23677</v>
      </c>
      <c r="K9" s="151"/>
      <c r="L9" s="152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3">
        <v>27853</v>
      </c>
      <c r="AN9" s="151"/>
      <c r="AO9" s="151"/>
    </row>
    <row r="10" spans="1:41" s="156" customFormat="1" ht="13.5" customHeight="1">
      <c r="A10" s="204" t="s">
        <v>65</v>
      </c>
      <c r="B10" s="204"/>
      <c r="C10" s="204"/>
      <c r="D10" s="155"/>
      <c r="E10" s="155"/>
      <c r="F10" s="155">
        <f>SUM(F7:F9)</f>
        <v>186542.4</v>
      </c>
      <c r="G10" s="155">
        <f>SUM(G7:G9)</f>
        <v>176920</v>
      </c>
      <c r="H10" s="155">
        <f aca="true" t="shared" si="0" ref="H10:AO10">SUM(H7:H9)</f>
        <v>0</v>
      </c>
      <c r="I10" s="155">
        <f t="shared" si="0"/>
        <v>79498</v>
      </c>
      <c r="J10" s="155">
        <f t="shared" si="0"/>
        <v>75322</v>
      </c>
      <c r="K10" s="155">
        <f t="shared" si="0"/>
        <v>0</v>
      </c>
      <c r="L10" s="155">
        <f t="shared" si="0"/>
        <v>0</v>
      </c>
      <c r="M10" s="155">
        <f t="shared" si="0"/>
        <v>0</v>
      </c>
      <c r="N10" s="155">
        <f t="shared" si="0"/>
        <v>0</v>
      </c>
      <c r="O10" s="155">
        <f t="shared" si="0"/>
        <v>0</v>
      </c>
      <c r="P10" s="155">
        <f t="shared" si="0"/>
        <v>0</v>
      </c>
      <c r="Q10" s="155">
        <f t="shared" si="0"/>
        <v>0</v>
      </c>
      <c r="R10" s="155">
        <f t="shared" si="0"/>
        <v>0</v>
      </c>
      <c r="S10" s="155">
        <f t="shared" si="0"/>
        <v>0</v>
      </c>
      <c r="T10" s="155">
        <f t="shared" si="0"/>
        <v>0</v>
      </c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>
        <f t="shared" si="0"/>
        <v>0</v>
      </c>
      <c r="AK10" s="155">
        <f t="shared" si="0"/>
        <v>0</v>
      </c>
      <c r="AL10" s="155">
        <f t="shared" si="0"/>
        <v>0</v>
      </c>
      <c r="AM10" s="155">
        <f t="shared" si="0"/>
        <v>47853</v>
      </c>
      <c r="AN10" s="155">
        <f t="shared" si="0"/>
        <v>0</v>
      </c>
      <c r="AO10" s="155">
        <f t="shared" si="0"/>
        <v>0</v>
      </c>
    </row>
  </sheetData>
  <sheetProtection/>
  <mergeCells count="47">
    <mergeCell ref="A1:T1"/>
    <mergeCell ref="AJ4:AL4"/>
    <mergeCell ref="L4:N4"/>
    <mergeCell ref="O4:Q4"/>
    <mergeCell ref="U4:W4"/>
    <mergeCell ref="A2:AC2"/>
    <mergeCell ref="B3:C6"/>
    <mergeCell ref="AK5:AL5"/>
    <mergeCell ref="AA5:AA6"/>
    <mergeCell ref="AB5:AC5"/>
    <mergeCell ref="V5:W5"/>
    <mergeCell ref="J5:K5"/>
    <mergeCell ref="X4:Z4"/>
    <mergeCell ref="X5:X6"/>
    <mergeCell ref="Y5:Z5"/>
    <mergeCell ref="P5:Q5"/>
    <mergeCell ref="R4:T4"/>
    <mergeCell ref="AM5:AM6"/>
    <mergeCell ref="AJ5:AJ6"/>
    <mergeCell ref="E3:E6"/>
    <mergeCell ref="R5:R6"/>
    <mergeCell ref="AG4:AI4"/>
    <mergeCell ref="AA4:AC4"/>
    <mergeCell ref="AD4:AF4"/>
    <mergeCell ref="AG5:AG6"/>
    <mergeCell ref="AH5:AI5"/>
    <mergeCell ref="U5:U6"/>
    <mergeCell ref="B8:C8"/>
    <mergeCell ref="AD5:AD6"/>
    <mergeCell ref="AE5:AF5"/>
    <mergeCell ref="AM3:AO4"/>
    <mergeCell ref="I3:AL3"/>
    <mergeCell ref="I4:K4"/>
    <mergeCell ref="L5:L6"/>
    <mergeCell ref="M5:N5"/>
    <mergeCell ref="O5:O6"/>
    <mergeCell ref="I5:I6"/>
    <mergeCell ref="D3:D6"/>
    <mergeCell ref="AN5:AO5"/>
    <mergeCell ref="S5:T5"/>
    <mergeCell ref="A10:C10"/>
    <mergeCell ref="F3:H4"/>
    <mergeCell ref="F5:F6"/>
    <mergeCell ref="G5:H5"/>
    <mergeCell ref="A3:A6"/>
    <mergeCell ref="B9:C9"/>
    <mergeCell ref="B7:C7"/>
  </mergeCells>
  <printOptions/>
  <pageMargins left="0.7086614173228347" right="0.7086614173228347" top="0.7874015748031497" bottom="0.35433070866141736" header="0.31496062992125984" footer="0.31496062992125984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O11"/>
  <sheetViews>
    <sheetView workbookViewId="0" topLeftCell="A1">
      <selection activeCell="D8" sqref="D8"/>
    </sheetView>
  </sheetViews>
  <sheetFormatPr defaultColWidth="8.796875" defaultRowHeight="14.25"/>
  <cols>
    <col min="1" max="1" width="3.19921875" style="12" customWidth="1"/>
    <col min="2" max="2" width="5.3984375" style="12" customWidth="1"/>
    <col min="3" max="3" width="20.8984375" style="12" customWidth="1"/>
    <col min="4" max="4" width="11.5" style="13" customWidth="1"/>
    <col min="5" max="5" width="8.69921875" style="13" customWidth="1"/>
    <col min="6" max="6" width="10.69921875" style="13" bestFit="1" customWidth="1"/>
    <col min="7" max="7" width="9.8984375" style="13" bestFit="1" customWidth="1"/>
    <col min="8" max="8" width="8.09765625" style="13" customWidth="1"/>
    <col min="9" max="10" width="9.8984375" style="13" bestFit="1" customWidth="1"/>
    <col min="11" max="11" width="8.09765625" style="12" customWidth="1"/>
    <col min="12" max="12" width="9.8984375" style="12" bestFit="1" customWidth="1"/>
    <col min="13" max="14" width="8.09765625" style="12" customWidth="1"/>
    <col min="15" max="38" width="5.3984375" style="12" customWidth="1"/>
    <col min="39" max="39" width="9.8984375" style="40" bestFit="1" customWidth="1"/>
    <col min="40" max="41" width="8.09765625" style="12" customWidth="1"/>
    <col min="42" max="16384" width="9" style="12" customWidth="1"/>
  </cols>
  <sheetData>
    <row r="1" spans="1:39" s="33" customFormat="1" ht="28.5" customHeight="1">
      <c r="A1" s="196" t="s">
        <v>167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AM1" s="67"/>
    </row>
    <row r="2" spans="1:39" s="33" customFormat="1" ht="28.5" customHeight="1">
      <c r="A2" s="198" t="s">
        <v>157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AM2" s="67"/>
    </row>
    <row r="3" spans="1:41" s="48" customFormat="1" ht="12.75">
      <c r="A3" s="214" t="s">
        <v>0</v>
      </c>
      <c r="B3" s="214" t="s">
        <v>56</v>
      </c>
      <c r="C3" s="214"/>
      <c r="D3" s="214" t="s">
        <v>64</v>
      </c>
      <c r="E3" s="214" t="s">
        <v>57</v>
      </c>
      <c r="F3" s="214" t="s">
        <v>58</v>
      </c>
      <c r="G3" s="214"/>
      <c r="H3" s="214"/>
      <c r="I3" s="214" t="s">
        <v>62</v>
      </c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 t="s">
        <v>61</v>
      </c>
      <c r="AN3" s="214"/>
      <c r="AO3" s="214"/>
    </row>
    <row r="4" spans="1:41" s="49" customFormat="1" ht="13.5" customHeight="1">
      <c r="A4" s="214"/>
      <c r="B4" s="214"/>
      <c r="C4" s="214"/>
      <c r="D4" s="214"/>
      <c r="E4" s="214"/>
      <c r="F4" s="214"/>
      <c r="G4" s="214"/>
      <c r="H4" s="214"/>
      <c r="I4" s="221">
        <v>2011</v>
      </c>
      <c r="J4" s="221"/>
      <c r="K4" s="221"/>
      <c r="L4" s="221">
        <v>2012</v>
      </c>
      <c r="M4" s="221"/>
      <c r="N4" s="221"/>
      <c r="O4" s="221">
        <v>2013</v>
      </c>
      <c r="P4" s="221"/>
      <c r="Q4" s="221"/>
      <c r="R4" s="221">
        <v>2014</v>
      </c>
      <c r="S4" s="221"/>
      <c r="T4" s="221"/>
      <c r="U4" s="221">
        <v>2015</v>
      </c>
      <c r="V4" s="221"/>
      <c r="W4" s="221"/>
      <c r="X4" s="221">
        <v>2016</v>
      </c>
      <c r="Y4" s="221"/>
      <c r="Z4" s="221"/>
      <c r="AA4" s="221">
        <v>2017</v>
      </c>
      <c r="AB4" s="221"/>
      <c r="AC4" s="221"/>
      <c r="AD4" s="221">
        <v>2018</v>
      </c>
      <c r="AE4" s="221"/>
      <c r="AF4" s="221"/>
      <c r="AG4" s="221">
        <v>2019</v>
      </c>
      <c r="AH4" s="221"/>
      <c r="AI4" s="221"/>
      <c r="AJ4" s="221">
        <v>2020</v>
      </c>
      <c r="AK4" s="221"/>
      <c r="AL4" s="221"/>
      <c r="AM4" s="214"/>
      <c r="AN4" s="214"/>
      <c r="AO4" s="214"/>
    </row>
    <row r="5" spans="1:41" s="49" customFormat="1" ht="13.5" customHeight="1">
      <c r="A5" s="214"/>
      <c r="B5" s="214"/>
      <c r="C5" s="214"/>
      <c r="D5" s="214"/>
      <c r="E5" s="214"/>
      <c r="F5" s="226" t="s">
        <v>59</v>
      </c>
      <c r="G5" s="219" t="s">
        <v>14</v>
      </c>
      <c r="H5" s="220"/>
      <c r="I5" s="215" t="s">
        <v>59</v>
      </c>
      <c r="J5" s="217" t="s">
        <v>14</v>
      </c>
      <c r="K5" s="218"/>
      <c r="L5" s="215" t="s">
        <v>59</v>
      </c>
      <c r="M5" s="217" t="s">
        <v>14</v>
      </c>
      <c r="N5" s="218"/>
      <c r="O5" s="215" t="s">
        <v>59</v>
      </c>
      <c r="P5" s="217" t="s">
        <v>14</v>
      </c>
      <c r="Q5" s="218"/>
      <c r="R5" s="215" t="s">
        <v>59</v>
      </c>
      <c r="S5" s="217" t="s">
        <v>14</v>
      </c>
      <c r="T5" s="218"/>
      <c r="U5" s="215" t="s">
        <v>59</v>
      </c>
      <c r="V5" s="217" t="s">
        <v>14</v>
      </c>
      <c r="W5" s="218"/>
      <c r="X5" s="215" t="s">
        <v>59</v>
      </c>
      <c r="Y5" s="217" t="s">
        <v>14</v>
      </c>
      <c r="Z5" s="218"/>
      <c r="AA5" s="215" t="s">
        <v>59</v>
      </c>
      <c r="AB5" s="217" t="s">
        <v>14</v>
      </c>
      <c r="AC5" s="218"/>
      <c r="AD5" s="215" t="s">
        <v>59</v>
      </c>
      <c r="AE5" s="217" t="s">
        <v>14</v>
      </c>
      <c r="AF5" s="218"/>
      <c r="AG5" s="215" t="s">
        <v>59</v>
      </c>
      <c r="AH5" s="217" t="s">
        <v>14</v>
      </c>
      <c r="AI5" s="218"/>
      <c r="AJ5" s="215" t="s">
        <v>59</v>
      </c>
      <c r="AK5" s="217" t="s">
        <v>14</v>
      </c>
      <c r="AL5" s="218"/>
      <c r="AM5" s="222" t="s">
        <v>59</v>
      </c>
      <c r="AN5" s="219" t="s">
        <v>14</v>
      </c>
      <c r="AO5" s="220"/>
    </row>
    <row r="6" spans="1:41" s="49" customFormat="1" ht="13.5" customHeight="1">
      <c r="A6" s="214"/>
      <c r="B6" s="214"/>
      <c r="C6" s="214"/>
      <c r="D6" s="214"/>
      <c r="E6" s="214"/>
      <c r="F6" s="227"/>
      <c r="G6" s="41" t="s">
        <v>63</v>
      </c>
      <c r="H6" s="41" t="s">
        <v>60</v>
      </c>
      <c r="I6" s="216"/>
      <c r="J6" s="50" t="s">
        <v>63</v>
      </c>
      <c r="K6" s="51" t="s">
        <v>60</v>
      </c>
      <c r="L6" s="216"/>
      <c r="M6" s="50" t="s">
        <v>63</v>
      </c>
      <c r="N6" s="51" t="s">
        <v>60</v>
      </c>
      <c r="O6" s="216"/>
      <c r="P6" s="50" t="s">
        <v>63</v>
      </c>
      <c r="Q6" s="51" t="s">
        <v>60</v>
      </c>
      <c r="R6" s="216"/>
      <c r="S6" s="50" t="s">
        <v>63</v>
      </c>
      <c r="T6" s="51" t="s">
        <v>60</v>
      </c>
      <c r="U6" s="216"/>
      <c r="V6" s="50" t="s">
        <v>63</v>
      </c>
      <c r="W6" s="51" t="s">
        <v>60</v>
      </c>
      <c r="X6" s="216"/>
      <c r="Y6" s="50" t="s">
        <v>63</v>
      </c>
      <c r="Z6" s="51" t="s">
        <v>60</v>
      </c>
      <c r="AA6" s="216"/>
      <c r="AB6" s="50" t="s">
        <v>63</v>
      </c>
      <c r="AC6" s="51" t="s">
        <v>60</v>
      </c>
      <c r="AD6" s="216"/>
      <c r="AE6" s="50" t="s">
        <v>63</v>
      </c>
      <c r="AF6" s="51" t="s">
        <v>60</v>
      </c>
      <c r="AG6" s="216"/>
      <c r="AH6" s="50" t="s">
        <v>63</v>
      </c>
      <c r="AI6" s="51" t="s">
        <v>60</v>
      </c>
      <c r="AJ6" s="216"/>
      <c r="AK6" s="50" t="s">
        <v>63</v>
      </c>
      <c r="AL6" s="51" t="s">
        <v>60</v>
      </c>
      <c r="AM6" s="223"/>
      <c r="AN6" s="50" t="s">
        <v>63</v>
      </c>
      <c r="AO6" s="51" t="s">
        <v>60</v>
      </c>
    </row>
    <row r="7" spans="1:41" s="5" customFormat="1" ht="135" customHeight="1">
      <c r="A7" s="43" t="s">
        <v>2</v>
      </c>
      <c r="B7" s="224" t="s">
        <v>162</v>
      </c>
      <c r="C7" s="225"/>
      <c r="D7" s="44" t="s">
        <v>140</v>
      </c>
      <c r="E7" s="45" t="s">
        <v>141</v>
      </c>
      <c r="F7" s="2">
        <v>7046085.57</v>
      </c>
      <c r="G7" s="2"/>
      <c r="H7" s="2"/>
      <c r="I7" s="2">
        <v>1515819.25</v>
      </c>
      <c r="J7" s="2"/>
      <c r="K7" s="3"/>
      <c r="L7" s="3">
        <v>1163938.8</v>
      </c>
      <c r="M7" s="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3">
        <v>0</v>
      </c>
      <c r="AN7" s="4"/>
      <c r="AO7" s="4"/>
    </row>
    <row r="8" spans="1:41" s="5" customFormat="1" ht="120" customHeight="1">
      <c r="A8" s="6" t="s">
        <v>15</v>
      </c>
      <c r="B8" s="194" t="s">
        <v>163</v>
      </c>
      <c r="C8" s="228"/>
      <c r="D8" s="52" t="s">
        <v>142</v>
      </c>
      <c r="E8" s="53" t="s">
        <v>143</v>
      </c>
      <c r="F8" s="7">
        <v>2100000</v>
      </c>
      <c r="G8" s="7"/>
      <c r="H8" s="7"/>
      <c r="I8" s="7">
        <v>600000</v>
      </c>
      <c r="J8" s="7"/>
      <c r="K8" s="8"/>
      <c r="L8" s="8">
        <v>600000</v>
      </c>
      <c r="M8" s="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3">
        <v>1200000</v>
      </c>
      <c r="AN8" s="4"/>
      <c r="AO8" s="4"/>
    </row>
    <row r="9" spans="1:41" s="10" customFormat="1" ht="60.75" customHeight="1">
      <c r="A9" s="6" t="s">
        <v>22</v>
      </c>
      <c r="B9" s="194" t="s">
        <v>164</v>
      </c>
      <c r="C9" s="195"/>
      <c r="D9" s="52" t="s">
        <v>140</v>
      </c>
      <c r="E9" s="53" t="s">
        <v>144</v>
      </c>
      <c r="F9" s="7">
        <v>7078629.18</v>
      </c>
      <c r="G9" s="7">
        <v>2945998</v>
      </c>
      <c r="H9" s="7"/>
      <c r="I9" s="7">
        <v>6064859.18</v>
      </c>
      <c r="J9" s="7">
        <v>2945998</v>
      </c>
      <c r="K9" s="8"/>
      <c r="L9" s="8"/>
      <c r="M9" s="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8">
        <v>893862.91</v>
      </c>
      <c r="AN9" s="9"/>
      <c r="AO9" s="9"/>
    </row>
    <row r="10" spans="1:41" s="10" customFormat="1" ht="333.75" customHeight="1">
      <c r="A10" s="6" t="s">
        <v>26</v>
      </c>
      <c r="B10" s="194" t="s">
        <v>165</v>
      </c>
      <c r="C10" s="195"/>
      <c r="D10" s="52" t="s">
        <v>140</v>
      </c>
      <c r="E10" s="53" t="s">
        <v>145</v>
      </c>
      <c r="F10" s="65">
        <v>1163364</v>
      </c>
      <c r="G10" s="65"/>
      <c r="H10" s="65"/>
      <c r="I10" s="65">
        <v>976083</v>
      </c>
      <c r="J10" s="65"/>
      <c r="K10" s="66"/>
      <c r="L10" s="66">
        <v>187281</v>
      </c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66">
        <v>120000</v>
      </c>
      <c r="AN10" s="9"/>
      <c r="AO10" s="9"/>
    </row>
    <row r="11" spans="1:41" s="11" customFormat="1" ht="13.5" customHeight="1">
      <c r="A11" s="191" t="s">
        <v>65</v>
      </c>
      <c r="B11" s="191"/>
      <c r="C11" s="191"/>
      <c r="D11" s="47"/>
      <c r="E11" s="47"/>
      <c r="F11" s="54">
        <f>SUM(F7:F10)</f>
        <v>17388078.75</v>
      </c>
      <c r="G11" s="54">
        <f aca="true" t="shared" si="0" ref="G11:AI11">SUM(G7:G10)</f>
        <v>2945998</v>
      </c>
      <c r="H11" s="54">
        <f t="shared" si="0"/>
        <v>0</v>
      </c>
      <c r="I11" s="54">
        <f t="shared" si="0"/>
        <v>9156761.43</v>
      </c>
      <c r="J11" s="54">
        <f t="shared" si="0"/>
        <v>2945998</v>
      </c>
      <c r="K11" s="54">
        <f t="shared" si="0"/>
        <v>0</v>
      </c>
      <c r="L11" s="54">
        <f t="shared" si="0"/>
        <v>1951219.8</v>
      </c>
      <c r="M11" s="54">
        <f t="shared" si="0"/>
        <v>0</v>
      </c>
      <c r="N11" s="47">
        <f t="shared" si="0"/>
        <v>0</v>
      </c>
      <c r="O11" s="47">
        <f aca="true" t="shared" si="1" ref="O11:W11">SUM(O7:O10)</f>
        <v>0</v>
      </c>
      <c r="P11" s="47">
        <f t="shared" si="1"/>
        <v>0</v>
      </c>
      <c r="Q11" s="47">
        <f t="shared" si="1"/>
        <v>0</v>
      </c>
      <c r="R11" s="47">
        <f t="shared" si="1"/>
        <v>0</v>
      </c>
      <c r="S11" s="47">
        <f t="shared" si="1"/>
        <v>0</v>
      </c>
      <c r="T11" s="47">
        <f t="shared" si="1"/>
        <v>0</v>
      </c>
      <c r="U11" s="47">
        <f t="shared" si="1"/>
        <v>0</v>
      </c>
      <c r="V11" s="47">
        <f t="shared" si="1"/>
        <v>0</v>
      </c>
      <c r="W11" s="47">
        <f t="shared" si="1"/>
        <v>0</v>
      </c>
      <c r="X11" s="47">
        <f t="shared" si="0"/>
        <v>0</v>
      </c>
      <c r="Y11" s="47">
        <f t="shared" si="0"/>
        <v>0</v>
      </c>
      <c r="Z11" s="47">
        <f t="shared" si="0"/>
        <v>0</v>
      </c>
      <c r="AA11" s="47">
        <f aca="true" t="shared" si="2" ref="AA11:AF11">SUM(AA7:AA10)</f>
        <v>0</v>
      </c>
      <c r="AB11" s="47">
        <f t="shared" si="2"/>
        <v>0</v>
      </c>
      <c r="AC11" s="47">
        <f t="shared" si="2"/>
        <v>0</v>
      </c>
      <c r="AD11" s="47">
        <f t="shared" si="2"/>
        <v>0</v>
      </c>
      <c r="AE11" s="47">
        <f t="shared" si="2"/>
        <v>0</v>
      </c>
      <c r="AF11" s="47">
        <f t="shared" si="2"/>
        <v>0</v>
      </c>
      <c r="AG11" s="47">
        <f t="shared" si="0"/>
        <v>0</v>
      </c>
      <c r="AH11" s="47">
        <f t="shared" si="0"/>
        <v>0</v>
      </c>
      <c r="AI11" s="47">
        <f t="shared" si="0"/>
        <v>0</v>
      </c>
      <c r="AJ11" s="47">
        <f>SUM(AJ7:AJ9)</f>
        <v>0</v>
      </c>
      <c r="AK11" s="47">
        <f>SUM(AK7:AK9)</f>
        <v>0</v>
      </c>
      <c r="AL11" s="47">
        <f>SUM(AL7:AL9)</f>
        <v>0</v>
      </c>
      <c r="AM11" s="54">
        <f>SUM(AM7:AM10)</f>
        <v>2213862.91</v>
      </c>
      <c r="AN11" s="47">
        <f>SUM(AN7:AN9)</f>
        <v>0</v>
      </c>
      <c r="AO11" s="47">
        <f>SUM(AO7:AO9)</f>
        <v>0</v>
      </c>
    </row>
  </sheetData>
  <sheetProtection/>
  <mergeCells count="48">
    <mergeCell ref="B9:C9"/>
    <mergeCell ref="A11:C11"/>
    <mergeCell ref="AH5:AI5"/>
    <mergeCell ref="AJ5:AJ6"/>
    <mergeCell ref="B8:C8"/>
    <mergeCell ref="B10:C10"/>
    <mergeCell ref="O5:O6"/>
    <mergeCell ref="P5:Q5"/>
    <mergeCell ref="R5:R6"/>
    <mergeCell ref="S5:T5"/>
    <mergeCell ref="AM5:AM6"/>
    <mergeCell ref="AN5:AO5"/>
    <mergeCell ref="B7:C7"/>
    <mergeCell ref="J5:K5"/>
    <mergeCell ref="L5:L6"/>
    <mergeCell ref="M5:N5"/>
    <mergeCell ref="X5:X6"/>
    <mergeCell ref="Y5:Z5"/>
    <mergeCell ref="AG5:AG6"/>
    <mergeCell ref="F5:F6"/>
    <mergeCell ref="R4:T4"/>
    <mergeCell ref="U4:W4"/>
    <mergeCell ref="AD4:AF4"/>
    <mergeCell ref="AK5:AL5"/>
    <mergeCell ref="AA5:AA6"/>
    <mergeCell ref="AB5:AC5"/>
    <mergeCell ref="V5:W5"/>
    <mergeCell ref="U5:U6"/>
    <mergeCell ref="G5:H5"/>
    <mergeCell ref="I5:I6"/>
    <mergeCell ref="AM3:AO4"/>
    <mergeCell ref="I4:K4"/>
    <mergeCell ref="L4:N4"/>
    <mergeCell ref="X4:Z4"/>
    <mergeCell ref="AG4:AI4"/>
    <mergeCell ref="AJ4:AL4"/>
    <mergeCell ref="O4:Q4"/>
    <mergeCell ref="AA4:AC4"/>
    <mergeCell ref="A1:Q1"/>
    <mergeCell ref="A2:Q2"/>
    <mergeCell ref="A3:A6"/>
    <mergeCell ref="B3:C6"/>
    <mergeCell ref="D3:D6"/>
    <mergeCell ref="E3:E6"/>
    <mergeCell ref="F3:H4"/>
    <mergeCell ref="I3:AL3"/>
    <mergeCell ref="AD5:AD6"/>
    <mergeCell ref="AE5:AF5"/>
  </mergeCells>
  <printOptions/>
  <pageMargins left="0.7086614173228347" right="0.7086614173228347" top="0.7874015748031497" bottom="0.35433070866141736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Q6"/>
  <sheetViews>
    <sheetView workbookViewId="0" topLeftCell="A1">
      <selection activeCell="A1" sqref="A1:Q1"/>
    </sheetView>
  </sheetViews>
  <sheetFormatPr defaultColWidth="8.796875" defaultRowHeight="14.25"/>
  <cols>
    <col min="1" max="1" width="3.19921875" style="12" customWidth="1"/>
    <col min="2" max="2" width="5.3984375" style="12" customWidth="1"/>
    <col min="3" max="3" width="20.59765625" style="12" customWidth="1"/>
    <col min="4" max="4" width="10.3984375" style="13" customWidth="1"/>
    <col min="5" max="5" width="8.69921875" style="13" customWidth="1"/>
    <col min="6" max="6" width="11" style="13" customWidth="1"/>
    <col min="7" max="7" width="9" style="13" bestFit="1" customWidth="1"/>
    <col min="8" max="9" width="9" style="12" bestFit="1" customWidth="1"/>
    <col min="10" max="16" width="7.09765625" style="12" customWidth="1"/>
    <col min="17" max="17" width="8.09765625" style="12" customWidth="1"/>
    <col min="18" max="16384" width="9" style="12" customWidth="1"/>
  </cols>
  <sheetData>
    <row r="1" spans="1:17" s="1" customFormat="1" ht="28.5" customHeight="1">
      <c r="A1" s="229" t="s">
        <v>161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s="1" customFormat="1" ht="28.5" customHeight="1">
      <c r="A2" s="230" t="s">
        <v>158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7" s="48" customFormat="1" ht="12.75" customHeight="1">
      <c r="A3" s="214" t="s">
        <v>0</v>
      </c>
      <c r="B3" s="214" t="s">
        <v>56</v>
      </c>
      <c r="C3" s="214"/>
      <c r="D3" s="214" t="s">
        <v>64</v>
      </c>
      <c r="E3" s="214" t="s">
        <v>57</v>
      </c>
      <c r="F3" s="226" t="s">
        <v>58</v>
      </c>
      <c r="G3" s="214" t="s">
        <v>62</v>
      </c>
      <c r="H3" s="214"/>
      <c r="I3" s="214"/>
      <c r="J3" s="214"/>
      <c r="K3" s="214"/>
      <c r="L3" s="214"/>
      <c r="M3" s="214"/>
      <c r="N3" s="214"/>
      <c r="O3" s="214"/>
      <c r="P3" s="214"/>
      <c r="Q3" s="214" t="s">
        <v>61</v>
      </c>
    </row>
    <row r="4" spans="1:17" s="49" customFormat="1" ht="27" customHeight="1">
      <c r="A4" s="214"/>
      <c r="B4" s="214"/>
      <c r="C4" s="214"/>
      <c r="D4" s="214"/>
      <c r="E4" s="214"/>
      <c r="F4" s="227"/>
      <c r="G4" s="42">
        <v>2011</v>
      </c>
      <c r="H4" s="42">
        <v>2012</v>
      </c>
      <c r="I4" s="42">
        <v>2013</v>
      </c>
      <c r="J4" s="42">
        <v>2014</v>
      </c>
      <c r="K4" s="42">
        <v>2015</v>
      </c>
      <c r="L4" s="42">
        <v>2016</v>
      </c>
      <c r="M4" s="42">
        <v>2017</v>
      </c>
      <c r="N4" s="42">
        <v>2018</v>
      </c>
      <c r="O4" s="42">
        <v>2019</v>
      </c>
      <c r="P4" s="42">
        <v>2020</v>
      </c>
      <c r="Q4" s="214"/>
    </row>
    <row r="5" spans="1:17" s="5" customFormat="1" ht="198" customHeight="1">
      <c r="A5" s="43" t="s">
        <v>2</v>
      </c>
      <c r="B5" s="224" t="s">
        <v>166</v>
      </c>
      <c r="C5" s="231"/>
      <c r="D5" s="44" t="s">
        <v>140</v>
      </c>
      <c r="E5" s="45" t="s">
        <v>152</v>
      </c>
      <c r="F5" s="2">
        <v>1132711.92</v>
      </c>
      <c r="G5" s="2">
        <v>309512.8</v>
      </c>
      <c r="H5" s="3">
        <v>309722.64</v>
      </c>
      <c r="I5" s="3">
        <v>180671.54</v>
      </c>
      <c r="J5" s="3"/>
      <c r="K5" s="3"/>
      <c r="L5" s="3"/>
      <c r="M5" s="3"/>
      <c r="N5" s="3"/>
      <c r="O5" s="3"/>
      <c r="P5" s="46"/>
      <c r="Q5" s="46">
        <v>0</v>
      </c>
    </row>
    <row r="6" spans="1:17" s="11" customFormat="1" ht="13.5" customHeight="1">
      <c r="A6" s="191" t="s">
        <v>65</v>
      </c>
      <c r="B6" s="191"/>
      <c r="C6" s="191"/>
      <c r="D6" s="47"/>
      <c r="E6" s="47"/>
      <c r="F6" s="14">
        <f aca="true" t="shared" si="0" ref="F6:Q6">SUM(F5:F5)</f>
        <v>1132711.92</v>
      </c>
      <c r="G6" s="14">
        <f t="shared" si="0"/>
        <v>309512.8</v>
      </c>
      <c r="H6" s="14">
        <f t="shared" si="0"/>
        <v>309722.64</v>
      </c>
      <c r="I6" s="14">
        <f t="shared" si="0"/>
        <v>180671.54</v>
      </c>
      <c r="J6" s="47">
        <f t="shared" si="0"/>
        <v>0</v>
      </c>
      <c r="K6" s="47"/>
      <c r="L6" s="47"/>
      <c r="M6" s="47"/>
      <c r="N6" s="47"/>
      <c r="O6" s="47"/>
      <c r="P6" s="47">
        <f t="shared" si="0"/>
        <v>0</v>
      </c>
      <c r="Q6" s="47">
        <f t="shared" si="0"/>
        <v>0</v>
      </c>
    </row>
  </sheetData>
  <sheetProtection/>
  <mergeCells count="11">
    <mergeCell ref="A6:C6"/>
    <mergeCell ref="A3:A4"/>
    <mergeCell ref="B3:C4"/>
    <mergeCell ref="D3:D4"/>
    <mergeCell ref="A1:Q1"/>
    <mergeCell ref="A2:Q2"/>
    <mergeCell ref="Q3:Q4"/>
    <mergeCell ref="B5:C5"/>
    <mergeCell ref="E3:E4"/>
    <mergeCell ref="F3:F4"/>
    <mergeCell ref="G3:P3"/>
  </mergeCells>
  <printOptions/>
  <pageMargins left="0.7086614173228347" right="0.7086614173228347" top="0.7874015748031497" bottom="0.35433070866141736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Q6"/>
  <sheetViews>
    <sheetView workbookViewId="0" topLeftCell="B1">
      <selection activeCell="D11" sqref="D11"/>
    </sheetView>
  </sheetViews>
  <sheetFormatPr defaultColWidth="8.796875" defaultRowHeight="14.25"/>
  <cols>
    <col min="1" max="1" width="3.19921875" style="38" customWidth="1"/>
    <col min="2" max="2" width="5.3984375" style="38" customWidth="1"/>
    <col min="3" max="3" width="22.5" style="38" customWidth="1"/>
    <col min="4" max="4" width="11.5" style="39" customWidth="1"/>
    <col min="5" max="5" width="8.69921875" style="39" customWidth="1"/>
    <col min="6" max="7" width="8.09765625" style="39" customWidth="1"/>
    <col min="8" max="16" width="8.09765625" style="38" customWidth="1"/>
    <col min="17" max="16384" width="9" style="38" customWidth="1"/>
  </cols>
  <sheetData>
    <row r="1" spans="1:17" s="33" customFormat="1" ht="28.5" customHeight="1">
      <c r="A1" s="232" t="s">
        <v>159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s="33" customFormat="1" ht="28.5" customHeight="1">
      <c r="A2" s="233" t="s">
        <v>160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1:17" s="34" customFormat="1" ht="12.75" customHeight="1">
      <c r="A3" s="214" t="s">
        <v>0</v>
      </c>
      <c r="B3" s="214" t="s">
        <v>56</v>
      </c>
      <c r="C3" s="214"/>
      <c r="D3" s="214" t="s">
        <v>64</v>
      </c>
      <c r="E3" s="214" t="s">
        <v>57</v>
      </c>
      <c r="F3" s="226" t="s">
        <v>58</v>
      </c>
      <c r="G3" s="214" t="s">
        <v>62</v>
      </c>
      <c r="H3" s="214"/>
      <c r="I3" s="214"/>
      <c r="J3" s="214"/>
      <c r="K3" s="214"/>
      <c r="L3" s="214"/>
      <c r="M3" s="214"/>
      <c r="N3" s="214"/>
      <c r="O3" s="214"/>
      <c r="P3" s="214"/>
      <c r="Q3" s="214" t="s">
        <v>61</v>
      </c>
    </row>
    <row r="4" spans="1:17" s="35" customFormat="1" ht="30" customHeight="1">
      <c r="A4" s="214"/>
      <c r="B4" s="214"/>
      <c r="C4" s="214"/>
      <c r="D4" s="214"/>
      <c r="E4" s="214"/>
      <c r="F4" s="227"/>
      <c r="G4" s="42">
        <v>2011</v>
      </c>
      <c r="H4" s="42">
        <v>2012</v>
      </c>
      <c r="I4" s="42">
        <v>2013</v>
      </c>
      <c r="J4" s="42">
        <v>2014</v>
      </c>
      <c r="K4" s="42">
        <v>2015</v>
      </c>
      <c r="L4" s="42">
        <v>2016</v>
      </c>
      <c r="M4" s="42">
        <v>2017</v>
      </c>
      <c r="N4" s="42">
        <v>2018</v>
      </c>
      <c r="O4" s="42">
        <v>2019</v>
      </c>
      <c r="P4" s="42">
        <v>2020</v>
      </c>
      <c r="Q4" s="214"/>
    </row>
    <row r="5" spans="1:17" s="36" customFormat="1" ht="126.75" customHeight="1">
      <c r="A5" s="43" t="s">
        <v>2</v>
      </c>
      <c r="B5" s="224" t="s">
        <v>149</v>
      </c>
      <c r="C5" s="231"/>
      <c r="D5" s="44" t="s">
        <v>150</v>
      </c>
      <c r="E5" s="45" t="s">
        <v>151</v>
      </c>
      <c r="F5" s="45">
        <v>1500000</v>
      </c>
      <c r="G5" s="45">
        <v>150000</v>
      </c>
      <c r="H5" s="46">
        <v>150000</v>
      </c>
      <c r="I5" s="46">
        <v>150000</v>
      </c>
      <c r="J5" s="46">
        <v>150000</v>
      </c>
      <c r="K5" s="46">
        <v>150000</v>
      </c>
      <c r="L5" s="46">
        <v>150000</v>
      </c>
      <c r="M5" s="46">
        <v>150000</v>
      </c>
      <c r="N5" s="46">
        <v>150000</v>
      </c>
      <c r="O5" s="46">
        <v>150000</v>
      </c>
      <c r="P5" s="46">
        <v>112500</v>
      </c>
      <c r="Q5" s="4">
        <v>0</v>
      </c>
    </row>
    <row r="6" spans="1:17" s="37" customFormat="1" ht="13.5" customHeight="1">
      <c r="A6" s="191" t="s">
        <v>65</v>
      </c>
      <c r="B6" s="191"/>
      <c r="C6" s="191"/>
      <c r="D6" s="47"/>
      <c r="E6" s="47"/>
      <c r="F6" s="47">
        <f aca="true" t="shared" si="0" ref="F6:Q6">SUM(F5:F5)</f>
        <v>1500000</v>
      </c>
      <c r="G6" s="47">
        <f t="shared" si="0"/>
        <v>150000</v>
      </c>
      <c r="H6" s="47">
        <f t="shared" si="0"/>
        <v>150000</v>
      </c>
      <c r="I6" s="47">
        <f t="shared" si="0"/>
        <v>150000</v>
      </c>
      <c r="J6" s="47">
        <f t="shared" si="0"/>
        <v>150000</v>
      </c>
      <c r="K6" s="47">
        <f t="shared" si="0"/>
        <v>150000</v>
      </c>
      <c r="L6" s="47">
        <f t="shared" si="0"/>
        <v>150000</v>
      </c>
      <c r="M6" s="47">
        <f t="shared" si="0"/>
        <v>150000</v>
      </c>
      <c r="N6" s="47">
        <f t="shared" si="0"/>
        <v>150000</v>
      </c>
      <c r="O6" s="47">
        <f t="shared" si="0"/>
        <v>150000</v>
      </c>
      <c r="P6" s="47">
        <f t="shared" si="0"/>
        <v>112500</v>
      </c>
      <c r="Q6" s="47">
        <f t="shared" si="0"/>
        <v>0</v>
      </c>
    </row>
  </sheetData>
  <sheetProtection/>
  <mergeCells count="11">
    <mergeCell ref="A6:C6"/>
    <mergeCell ref="B5:C5"/>
    <mergeCell ref="Q3:Q4"/>
    <mergeCell ref="A3:A4"/>
    <mergeCell ref="B3:C4"/>
    <mergeCell ref="D3:D4"/>
    <mergeCell ref="E3:E4"/>
    <mergeCell ref="G3:P3"/>
    <mergeCell ref="F3:F4"/>
    <mergeCell ref="A1:Q1"/>
    <mergeCell ref="A2:Q2"/>
  </mergeCells>
  <printOptions/>
  <pageMargins left="0.7086614173228347" right="0.7086614173228347" top="0.7874015748031497" bottom="0.35433070866141736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P53"/>
  <sheetViews>
    <sheetView workbookViewId="0" topLeftCell="A1">
      <selection activeCell="A1" sqref="A1:M1"/>
    </sheetView>
  </sheetViews>
  <sheetFormatPr defaultColWidth="8.796875" defaultRowHeight="14.25"/>
  <cols>
    <col min="1" max="1" width="4" style="115" customWidth="1"/>
    <col min="2" max="2" width="5.3984375" style="115" customWidth="1"/>
    <col min="3" max="3" width="30" style="115" customWidth="1"/>
    <col min="4" max="4" width="11.3984375" style="116" customWidth="1"/>
    <col min="5" max="11" width="10.69921875" style="116" bestFit="1" customWidth="1"/>
    <col min="12" max="16" width="10.69921875" style="115" bestFit="1" customWidth="1"/>
    <col min="17" max="16384" width="9" style="115" customWidth="1"/>
  </cols>
  <sheetData>
    <row r="1" spans="1:16" s="56" customFormat="1" ht="27.75" customHeight="1">
      <c r="A1" s="251" t="s">
        <v>173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55"/>
      <c r="O1" s="55"/>
      <c r="P1" s="55"/>
    </row>
    <row r="2" spans="1:16" s="33" customFormat="1" ht="36" customHeight="1">
      <c r="A2" s="252" t="s">
        <v>155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16" s="69" customFormat="1" ht="13.5" customHeight="1">
      <c r="A3" s="160" t="s">
        <v>0</v>
      </c>
      <c r="B3" s="181" t="s">
        <v>1</v>
      </c>
      <c r="C3" s="181"/>
      <c r="D3" s="160">
        <v>2008</v>
      </c>
      <c r="E3" s="160">
        <f aca="true" t="shared" si="0" ref="E3:J3">D3+1</f>
        <v>2009</v>
      </c>
      <c r="F3" s="160">
        <f t="shared" si="0"/>
        <v>2010</v>
      </c>
      <c r="G3" s="160">
        <f t="shared" si="0"/>
        <v>2011</v>
      </c>
      <c r="H3" s="160">
        <f t="shared" si="0"/>
        <v>2012</v>
      </c>
      <c r="I3" s="160">
        <f t="shared" si="0"/>
        <v>2013</v>
      </c>
      <c r="J3" s="160">
        <f t="shared" si="0"/>
        <v>2014</v>
      </c>
      <c r="K3" s="160">
        <v>2015</v>
      </c>
      <c r="L3" s="69">
        <v>2016</v>
      </c>
      <c r="M3" s="69">
        <v>2017</v>
      </c>
      <c r="N3" s="69">
        <v>2018</v>
      </c>
      <c r="O3" s="69">
        <v>2019</v>
      </c>
      <c r="P3" s="69">
        <v>2020</v>
      </c>
    </row>
    <row r="4" spans="1:16" s="74" customFormat="1" ht="13.5" customHeight="1">
      <c r="A4" s="70" t="s">
        <v>2</v>
      </c>
      <c r="B4" s="234" t="s">
        <v>69</v>
      </c>
      <c r="C4" s="234"/>
      <c r="D4" s="117">
        <v>23394905.87</v>
      </c>
      <c r="E4" s="117">
        <v>26348321.97</v>
      </c>
      <c r="F4" s="117">
        <v>33799110.99</v>
      </c>
      <c r="G4" s="68">
        <v>32726408.6</v>
      </c>
      <c r="H4" s="117">
        <v>32857930.09</v>
      </c>
      <c r="I4" s="117">
        <f aca="true" t="shared" si="1" ref="I4:P4">H4+(H4*3%)</f>
        <v>33843667.9927</v>
      </c>
      <c r="J4" s="117">
        <f t="shared" si="1"/>
        <v>34858978.032481</v>
      </c>
      <c r="K4" s="117">
        <f t="shared" si="1"/>
        <v>35904747.37345543</v>
      </c>
      <c r="L4" s="117">
        <f t="shared" si="1"/>
        <v>36981889.79465909</v>
      </c>
      <c r="M4" s="117">
        <f t="shared" si="1"/>
        <v>38091346.48849887</v>
      </c>
      <c r="N4" s="117">
        <f t="shared" si="1"/>
        <v>39234086.88315383</v>
      </c>
      <c r="O4" s="117">
        <f t="shared" si="1"/>
        <v>40411109.48964845</v>
      </c>
      <c r="P4" s="117">
        <f t="shared" si="1"/>
        <v>41623442.7743379</v>
      </c>
    </row>
    <row r="5" spans="1:16" s="78" customFormat="1" ht="13.5" customHeight="1">
      <c r="A5" s="75" t="s">
        <v>66</v>
      </c>
      <c r="B5" s="246" t="s">
        <v>14</v>
      </c>
      <c r="C5" s="118" t="s">
        <v>70</v>
      </c>
      <c r="D5" s="119">
        <v>22991475.98</v>
      </c>
      <c r="E5" s="119">
        <v>22173286.93</v>
      </c>
      <c r="F5" s="119">
        <v>27602931.07</v>
      </c>
      <c r="G5" s="57">
        <v>24658353.6</v>
      </c>
      <c r="H5" s="119">
        <v>24547181.45</v>
      </c>
      <c r="I5" s="119">
        <f aca="true" t="shared" si="2" ref="I5:P5">(H5*3%)+H5</f>
        <v>25283596.8935</v>
      </c>
      <c r="J5" s="119">
        <f t="shared" si="2"/>
        <v>26042104.800305</v>
      </c>
      <c r="K5" s="119">
        <f t="shared" si="2"/>
        <v>26823367.944314152</v>
      </c>
      <c r="L5" s="119">
        <f t="shared" si="2"/>
        <v>27628068.98264358</v>
      </c>
      <c r="M5" s="119">
        <f t="shared" si="2"/>
        <v>28456911.052122887</v>
      </c>
      <c r="N5" s="119">
        <f t="shared" si="2"/>
        <v>29310618.383686572</v>
      </c>
      <c r="O5" s="119">
        <f t="shared" si="2"/>
        <v>30189936.93519717</v>
      </c>
      <c r="P5" s="119">
        <f t="shared" si="2"/>
        <v>31095635.043253087</v>
      </c>
    </row>
    <row r="6" spans="1:16" s="108" customFormat="1" ht="13.5" customHeight="1">
      <c r="A6" s="120" t="s">
        <v>67</v>
      </c>
      <c r="B6" s="247"/>
      <c r="C6" s="121" t="s">
        <v>71</v>
      </c>
      <c r="D6" s="122">
        <v>279718</v>
      </c>
      <c r="E6" s="122">
        <v>1391019</v>
      </c>
      <c r="F6" s="122">
        <v>966200</v>
      </c>
      <c r="G6" s="122">
        <v>1300000</v>
      </c>
      <c r="H6" s="122">
        <v>1500000</v>
      </c>
      <c r="I6" s="122">
        <v>1545000</v>
      </c>
      <c r="J6" s="122">
        <f aca="true" t="shared" si="3" ref="J6:P6">I6+(I6*3%)</f>
        <v>1591350</v>
      </c>
      <c r="K6" s="122">
        <f t="shared" si="3"/>
        <v>1639090.5</v>
      </c>
      <c r="L6" s="122">
        <f t="shared" si="3"/>
        <v>1688263.215</v>
      </c>
      <c r="M6" s="122">
        <f t="shared" si="3"/>
        <v>1738911.1114500002</v>
      </c>
      <c r="N6" s="122">
        <f t="shared" si="3"/>
        <v>1791078.4447935002</v>
      </c>
      <c r="O6" s="122">
        <f t="shared" si="3"/>
        <v>1844810.7981373053</v>
      </c>
      <c r="P6" s="122">
        <f t="shared" si="3"/>
        <v>1900155.1220814246</v>
      </c>
    </row>
    <row r="7" spans="1:16" s="74" customFormat="1" ht="13.5" customHeight="1">
      <c r="A7" s="92" t="s">
        <v>15</v>
      </c>
      <c r="B7" s="179" t="s">
        <v>68</v>
      </c>
      <c r="C7" s="179"/>
      <c r="D7" s="117">
        <v>23091233.86</v>
      </c>
      <c r="E7" s="117">
        <v>28294038.71</v>
      </c>
      <c r="F7" s="117">
        <v>38205451.45</v>
      </c>
      <c r="G7" s="68">
        <v>35490519.75</v>
      </c>
      <c r="H7" s="117">
        <v>32083292.53</v>
      </c>
      <c r="I7" s="117">
        <v>32889221.43</v>
      </c>
      <c r="J7" s="117">
        <v>34055484.47</v>
      </c>
      <c r="K7" s="163">
        <v>35113531.81</v>
      </c>
      <c r="L7" s="117">
        <v>36326344.23</v>
      </c>
      <c r="M7" s="117">
        <v>37517457.54</v>
      </c>
      <c r="N7" s="117">
        <v>38844126.88</v>
      </c>
      <c r="O7" s="117">
        <v>40021149.49</v>
      </c>
      <c r="P7" s="117">
        <v>41250982.12</v>
      </c>
    </row>
    <row r="8" spans="1:16" s="78" customFormat="1" ht="13.5" customHeight="1">
      <c r="A8" s="75" t="s">
        <v>76</v>
      </c>
      <c r="B8" s="177" t="s">
        <v>72</v>
      </c>
      <c r="C8" s="178"/>
      <c r="D8" s="119">
        <v>20862470.8</v>
      </c>
      <c r="E8" s="119">
        <v>21805962</v>
      </c>
      <c r="F8" s="119">
        <v>28427974.34</v>
      </c>
      <c r="G8" s="57">
        <v>24978362.25</v>
      </c>
      <c r="H8" s="119">
        <v>24146153.65</v>
      </c>
      <c r="I8" s="119">
        <f>H8+(H8*2.8%)-281730.54</f>
        <v>24540515.4122</v>
      </c>
      <c r="J8" s="119">
        <f>I8+(I8*2.8%)-288531.55</f>
        <v>24939118.2937416</v>
      </c>
      <c r="K8" s="119">
        <v>25341878.01</v>
      </c>
      <c r="L8" s="119">
        <f>K8+(K8*2.8%)-302749.8</f>
        <v>25748700.79428</v>
      </c>
      <c r="M8" s="119">
        <v>26039961.31</v>
      </c>
      <c r="N8" s="119">
        <v>26462726.17</v>
      </c>
      <c r="O8" s="119">
        <v>26889444.2</v>
      </c>
      <c r="P8" s="119">
        <v>27319985.57</v>
      </c>
    </row>
    <row r="9" spans="1:16" s="83" customFormat="1" ht="13.5" customHeight="1">
      <c r="A9" s="97" t="s">
        <v>77</v>
      </c>
      <c r="B9" s="239" t="s">
        <v>14</v>
      </c>
      <c r="C9" s="80" t="s">
        <v>75</v>
      </c>
      <c r="D9" s="123"/>
      <c r="E9" s="123"/>
      <c r="F9" s="123">
        <v>37500</v>
      </c>
      <c r="G9" s="123">
        <v>150000</v>
      </c>
      <c r="H9" s="123">
        <v>150000</v>
      </c>
      <c r="I9" s="123">
        <v>150000</v>
      </c>
      <c r="J9" s="123">
        <v>150000</v>
      </c>
      <c r="K9" s="123">
        <v>150000</v>
      </c>
      <c r="L9" s="123">
        <v>150000</v>
      </c>
      <c r="M9" s="123">
        <v>150000</v>
      </c>
      <c r="N9" s="123">
        <v>150000</v>
      </c>
      <c r="O9" s="123">
        <v>150000</v>
      </c>
      <c r="P9" s="123">
        <v>112500</v>
      </c>
    </row>
    <row r="10" spans="1:16" s="83" customFormat="1" ht="13.5" customHeight="1">
      <c r="A10" s="97"/>
      <c r="B10" s="240"/>
      <c r="C10" s="124" t="s">
        <v>80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</row>
    <row r="11" spans="1:16" s="89" customFormat="1" ht="11.25">
      <c r="A11" s="100" t="s">
        <v>78</v>
      </c>
      <c r="B11" s="240"/>
      <c r="C11" s="86" t="s">
        <v>74</v>
      </c>
      <c r="D11" s="125">
        <v>84555.75</v>
      </c>
      <c r="E11" s="125">
        <v>76749.04</v>
      </c>
      <c r="F11" s="125">
        <v>99168</v>
      </c>
      <c r="G11" s="125">
        <v>199126</v>
      </c>
      <c r="H11" s="126">
        <v>316789.67</v>
      </c>
      <c r="I11" s="126">
        <v>269218.69</v>
      </c>
      <c r="J11" s="126">
        <v>217789.13</v>
      </c>
      <c r="K11" s="126">
        <v>172560.9</v>
      </c>
      <c r="L11" s="126">
        <v>132428.62</v>
      </c>
      <c r="M11" s="126">
        <v>95415.63</v>
      </c>
      <c r="N11" s="126">
        <v>63168.7</v>
      </c>
      <c r="O11" s="126">
        <v>41783.99</v>
      </c>
      <c r="P11" s="126">
        <v>20399.28</v>
      </c>
    </row>
    <row r="12" spans="1:16" s="89" customFormat="1" ht="11.25">
      <c r="A12" s="100"/>
      <c r="B12" s="241"/>
      <c r="C12" s="124" t="s">
        <v>80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s="74" customFormat="1" ht="13.5" customHeight="1">
      <c r="A13" s="92" t="s">
        <v>22</v>
      </c>
      <c r="B13" s="237" t="s">
        <v>81</v>
      </c>
      <c r="C13" s="238"/>
      <c r="D13" s="117">
        <f>D5-D8</f>
        <v>2129005.1799999997</v>
      </c>
      <c r="E13" s="117">
        <f aca="true" t="shared" si="4" ref="E13:K13">E5-E8</f>
        <v>367324.9299999997</v>
      </c>
      <c r="F13" s="117">
        <f t="shared" si="4"/>
        <v>-825043.2699999996</v>
      </c>
      <c r="G13" s="117">
        <f t="shared" si="4"/>
        <v>-320008.6499999985</v>
      </c>
      <c r="H13" s="117">
        <f t="shared" si="4"/>
        <v>401027.80000000075</v>
      </c>
      <c r="I13" s="117">
        <f t="shared" si="4"/>
        <v>743081.4813000001</v>
      </c>
      <c r="J13" s="117">
        <f t="shared" si="4"/>
        <v>1102986.5065634027</v>
      </c>
      <c r="K13" s="163">
        <f t="shared" si="4"/>
        <v>1481489.9343141504</v>
      </c>
      <c r="L13" s="117">
        <f>L5-L8</f>
        <v>1879368.1883635782</v>
      </c>
      <c r="M13" s="117">
        <f>M5-M8</f>
        <v>2416949.7421228886</v>
      </c>
      <c r="N13" s="117">
        <f>N5-N8</f>
        <v>2847892.2136865705</v>
      </c>
      <c r="O13" s="117">
        <f>O5-O8</f>
        <v>3300492.7351971716</v>
      </c>
      <c r="P13" s="117">
        <f>P5-P8</f>
        <v>3775649.473253086</v>
      </c>
    </row>
    <row r="14" spans="1:16" s="74" customFormat="1" ht="13.5" customHeight="1">
      <c r="A14" s="92" t="s">
        <v>26</v>
      </c>
      <c r="B14" s="237" t="s">
        <v>82</v>
      </c>
      <c r="C14" s="238"/>
      <c r="D14" s="117">
        <f>D4-D7</f>
        <v>303672.01000000164</v>
      </c>
      <c r="E14" s="117">
        <f aca="true" t="shared" si="5" ref="E14:K14">E4-E7</f>
        <v>-1945716.740000002</v>
      </c>
      <c r="F14" s="117">
        <f t="shared" si="5"/>
        <v>-4406340.460000001</v>
      </c>
      <c r="G14" s="117">
        <f t="shared" si="5"/>
        <v>-2764111.1499999985</v>
      </c>
      <c r="H14" s="117">
        <f t="shared" si="5"/>
        <v>774637.5599999987</v>
      </c>
      <c r="I14" s="117">
        <f t="shared" si="5"/>
        <v>954446.5627000034</v>
      </c>
      <c r="J14" s="117">
        <f t="shared" si="5"/>
        <v>803493.562481001</v>
      </c>
      <c r="K14" s="163">
        <f t="shared" si="5"/>
        <v>791215.5634554252</v>
      </c>
      <c r="L14" s="117">
        <f>L4-L7</f>
        <v>655545.5646590963</v>
      </c>
      <c r="M14" s="117">
        <f>M4-M7</f>
        <v>573888.9484988675</v>
      </c>
      <c r="N14" s="117">
        <f>N4-N7</f>
        <v>389960.00315383077</v>
      </c>
      <c r="O14" s="117">
        <f>O4-O7</f>
        <v>389959.99964844435</v>
      </c>
      <c r="P14" s="117">
        <f>P4-P7</f>
        <v>372460.65433790535</v>
      </c>
    </row>
    <row r="15" spans="1:16" s="74" customFormat="1" ht="13.5" customHeight="1">
      <c r="A15" s="92" t="s">
        <v>35</v>
      </c>
      <c r="B15" s="237" t="s">
        <v>46</v>
      </c>
      <c r="C15" s="238"/>
      <c r="D15" s="117">
        <f>D17+D19+D20+D21</f>
        <v>2001350.3499999999</v>
      </c>
      <c r="E15" s="117">
        <f aca="true" t="shared" si="6" ref="E15:K15">E17+E19+E20+E21</f>
        <v>3313690.67</v>
      </c>
      <c r="F15" s="117">
        <f t="shared" si="6"/>
        <v>5081881.02</v>
      </c>
      <c r="G15" s="117">
        <f t="shared" si="6"/>
        <v>3506736.71</v>
      </c>
      <c r="H15" s="117">
        <f t="shared" si="6"/>
        <v>120281</v>
      </c>
      <c r="I15" s="117">
        <f t="shared" si="6"/>
        <v>0</v>
      </c>
      <c r="J15" s="117">
        <f t="shared" si="6"/>
        <v>0</v>
      </c>
      <c r="K15" s="117">
        <f t="shared" si="6"/>
        <v>0</v>
      </c>
      <c r="L15" s="117">
        <f>L17+L19+L20+L21</f>
        <v>0</v>
      </c>
      <c r="M15" s="117">
        <f>M17+M19+M20+M21</f>
        <v>0</v>
      </c>
      <c r="N15" s="117">
        <f>N17+N19+N20+N21</f>
        <v>0</v>
      </c>
      <c r="O15" s="117">
        <f>O17+O19+O20+O21</f>
        <v>0</v>
      </c>
      <c r="P15" s="117">
        <f>P17+P19+P20+P21</f>
        <v>0</v>
      </c>
    </row>
    <row r="16" spans="1:16" s="108" customFormat="1" ht="13.5" customHeight="1">
      <c r="A16" s="120"/>
      <c r="B16" s="242" t="s">
        <v>79</v>
      </c>
      <c r="C16" s="243"/>
      <c r="D16" s="119">
        <f>D18</f>
        <v>0</v>
      </c>
      <c r="E16" s="119">
        <f aca="true" t="shared" si="7" ref="E16:K16">E18</f>
        <v>0</v>
      </c>
      <c r="F16" s="119">
        <f t="shared" si="7"/>
        <v>0</v>
      </c>
      <c r="G16" s="119">
        <f t="shared" si="7"/>
        <v>0</v>
      </c>
      <c r="H16" s="119">
        <f t="shared" si="7"/>
        <v>0</v>
      </c>
      <c r="I16" s="119">
        <f t="shared" si="7"/>
        <v>0</v>
      </c>
      <c r="J16" s="119">
        <f t="shared" si="7"/>
        <v>0</v>
      </c>
      <c r="K16" s="119">
        <f t="shared" si="7"/>
        <v>0</v>
      </c>
      <c r="L16" s="119">
        <f>L18</f>
        <v>0</v>
      </c>
      <c r="M16" s="119">
        <f>M18</f>
        <v>0</v>
      </c>
      <c r="N16" s="119">
        <f>N18</f>
        <v>0</v>
      </c>
      <c r="O16" s="119">
        <f>O18</f>
        <v>0</v>
      </c>
      <c r="P16" s="119">
        <f>P18</f>
        <v>0</v>
      </c>
    </row>
    <row r="17" spans="1:16" s="78" customFormat="1" ht="13.5" customHeight="1">
      <c r="A17" s="75" t="s">
        <v>86</v>
      </c>
      <c r="B17" s="235" t="s">
        <v>14</v>
      </c>
      <c r="C17" s="118" t="s">
        <v>83</v>
      </c>
      <c r="D17" s="119">
        <v>358518.92</v>
      </c>
      <c r="E17" s="119">
        <v>1329745</v>
      </c>
      <c r="F17" s="119">
        <v>4210119.14</v>
      </c>
      <c r="G17" s="119">
        <v>1987768.65</v>
      </c>
      <c r="H17" s="119">
        <v>120281</v>
      </c>
      <c r="I17" s="119">
        <v>0</v>
      </c>
      <c r="J17" s="119"/>
      <c r="K17" s="119"/>
      <c r="L17" s="119"/>
      <c r="M17" s="119"/>
      <c r="N17" s="119"/>
      <c r="O17" s="119"/>
      <c r="P17" s="119"/>
    </row>
    <row r="18" spans="1:16" s="108" customFormat="1" ht="13.5" customHeight="1">
      <c r="A18" s="120"/>
      <c r="B18" s="236"/>
      <c r="C18" s="127" t="s">
        <v>80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</row>
    <row r="19" spans="1:16" s="78" customFormat="1" ht="13.5" customHeight="1">
      <c r="A19" s="75" t="s">
        <v>87</v>
      </c>
      <c r="B19" s="236"/>
      <c r="C19" s="118" t="s">
        <v>45</v>
      </c>
      <c r="D19" s="119">
        <v>1642831.43</v>
      </c>
      <c r="E19" s="119">
        <v>1983945.67</v>
      </c>
      <c r="F19" s="119">
        <v>871761.88</v>
      </c>
      <c r="G19" s="119">
        <v>1518968.06</v>
      </c>
      <c r="H19" s="119">
        <v>0</v>
      </c>
      <c r="I19" s="119">
        <v>0</v>
      </c>
      <c r="J19" s="119"/>
      <c r="K19" s="119"/>
      <c r="L19" s="119"/>
      <c r="M19" s="119"/>
      <c r="N19" s="119"/>
      <c r="O19" s="119"/>
      <c r="P19" s="119"/>
    </row>
    <row r="20" spans="1:16" s="108" customFormat="1" ht="13.5" customHeight="1">
      <c r="A20" s="75" t="s">
        <v>88</v>
      </c>
      <c r="B20" s="236"/>
      <c r="C20" s="118" t="s">
        <v>84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</row>
    <row r="21" spans="1:16" s="78" customFormat="1" ht="13.5" customHeight="1">
      <c r="A21" s="75" t="s">
        <v>89</v>
      </c>
      <c r="B21" s="236"/>
      <c r="C21" s="118" t="s">
        <v>85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2" spans="1:16" s="74" customFormat="1" ht="13.5" customHeight="1">
      <c r="A22" s="92" t="s">
        <v>90</v>
      </c>
      <c r="B22" s="237" t="s">
        <v>47</v>
      </c>
      <c r="C22" s="238"/>
      <c r="D22" s="117">
        <f>D24+D26+D27</f>
        <v>329087.76</v>
      </c>
      <c r="E22" s="117">
        <f aca="true" t="shared" si="8" ref="E22:P22">E24+E26+E27</f>
        <v>496212.05</v>
      </c>
      <c r="F22" s="117">
        <f t="shared" si="8"/>
        <v>675540.56</v>
      </c>
      <c r="G22" s="117">
        <f t="shared" si="8"/>
        <v>742625.56</v>
      </c>
      <c r="H22" s="117">
        <f t="shared" si="8"/>
        <v>894918.56</v>
      </c>
      <c r="I22" s="117">
        <f t="shared" si="8"/>
        <v>954446.56</v>
      </c>
      <c r="J22" s="117">
        <f t="shared" si="8"/>
        <v>803493.56</v>
      </c>
      <c r="K22" s="117">
        <f t="shared" si="8"/>
        <v>791215.56</v>
      </c>
      <c r="L22" s="117">
        <f t="shared" si="8"/>
        <v>655545.56</v>
      </c>
      <c r="M22" s="117">
        <f t="shared" si="8"/>
        <v>573888.95</v>
      </c>
      <c r="N22" s="117">
        <f t="shared" si="8"/>
        <v>389960</v>
      </c>
      <c r="O22" s="117">
        <f t="shared" si="8"/>
        <v>389960</v>
      </c>
      <c r="P22" s="117">
        <f t="shared" si="8"/>
        <v>372460.65</v>
      </c>
    </row>
    <row r="23" spans="1:16" s="108" customFormat="1" ht="13.5" customHeight="1">
      <c r="A23" s="120"/>
      <c r="B23" s="242" t="s">
        <v>79</v>
      </c>
      <c r="C23" s="243"/>
      <c r="D23" s="119">
        <f>D25</f>
        <v>0</v>
      </c>
      <c r="E23" s="119">
        <f aca="true" t="shared" si="9" ref="E23:K23">E25</f>
        <v>0</v>
      </c>
      <c r="F23" s="119">
        <f t="shared" si="9"/>
        <v>0</v>
      </c>
      <c r="G23" s="119">
        <f t="shared" si="9"/>
        <v>0</v>
      </c>
      <c r="H23" s="119">
        <f t="shared" si="9"/>
        <v>0</v>
      </c>
      <c r="I23" s="119">
        <f t="shared" si="9"/>
        <v>0</v>
      </c>
      <c r="J23" s="119">
        <f>J26</f>
        <v>0</v>
      </c>
      <c r="K23" s="119">
        <f t="shared" si="9"/>
        <v>0</v>
      </c>
      <c r="L23" s="119">
        <f>L25</f>
        <v>0</v>
      </c>
      <c r="M23" s="119">
        <f>M25</f>
        <v>0</v>
      </c>
      <c r="N23" s="119">
        <f>N25</f>
        <v>0</v>
      </c>
      <c r="O23" s="119">
        <f>O25</f>
        <v>0</v>
      </c>
      <c r="P23" s="119">
        <f>P25</f>
        <v>0</v>
      </c>
    </row>
    <row r="24" spans="1:16" s="78" customFormat="1" ht="27" customHeight="1">
      <c r="A24" s="75" t="s">
        <v>91</v>
      </c>
      <c r="B24" s="235" t="s">
        <v>14</v>
      </c>
      <c r="C24" s="128" t="s">
        <v>92</v>
      </c>
      <c r="D24" s="119">
        <v>329087.76</v>
      </c>
      <c r="E24" s="119">
        <v>496212.05</v>
      </c>
      <c r="F24" s="119">
        <v>675540.56</v>
      </c>
      <c r="G24" s="119">
        <v>742625.56</v>
      </c>
      <c r="H24" s="129">
        <v>894918.56</v>
      </c>
      <c r="I24" s="129">
        <v>954446.56</v>
      </c>
      <c r="J24" s="129">
        <v>803493.56</v>
      </c>
      <c r="K24" s="164">
        <v>791215.56</v>
      </c>
      <c r="L24" s="129">
        <v>655545.56</v>
      </c>
      <c r="M24" s="129">
        <v>573888.95</v>
      </c>
      <c r="N24" s="129">
        <v>389960</v>
      </c>
      <c r="O24" s="129">
        <v>389960</v>
      </c>
      <c r="P24" s="129">
        <v>372460.65</v>
      </c>
    </row>
    <row r="25" spans="1:16" s="108" customFormat="1" ht="13.5" customHeight="1">
      <c r="A25" s="120"/>
      <c r="B25" s="236"/>
      <c r="C25" s="127" t="s">
        <v>80</v>
      </c>
      <c r="D25" s="122"/>
      <c r="E25" s="122"/>
      <c r="F25" s="122"/>
      <c r="G25" s="122"/>
      <c r="H25" s="122"/>
      <c r="I25" s="122"/>
      <c r="J25" s="130"/>
      <c r="K25" s="165"/>
      <c r="L25" s="122"/>
      <c r="M25" s="122"/>
      <c r="N25" s="122"/>
      <c r="O25" s="122"/>
      <c r="P25" s="122"/>
    </row>
    <row r="26" spans="1:16" s="78" customFormat="1" ht="13.5" customHeight="1">
      <c r="A26" s="75" t="s">
        <v>94</v>
      </c>
      <c r="B26" s="236"/>
      <c r="C26" s="118" t="s">
        <v>93</v>
      </c>
      <c r="D26" s="119"/>
      <c r="E26" s="119"/>
      <c r="F26" s="119"/>
      <c r="G26" s="119"/>
      <c r="H26" s="119"/>
      <c r="I26" s="119"/>
      <c r="J26" s="122"/>
      <c r="K26" s="166"/>
      <c r="L26" s="119"/>
      <c r="M26" s="119"/>
      <c r="N26" s="119"/>
      <c r="O26" s="119"/>
      <c r="P26" s="119"/>
    </row>
    <row r="27" spans="1:16" s="108" customFormat="1" ht="13.5" customHeight="1">
      <c r="A27" s="75" t="s">
        <v>95</v>
      </c>
      <c r="B27" s="236"/>
      <c r="C27" s="118" t="s">
        <v>34</v>
      </c>
      <c r="D27" s="122"/>
      <c r="E27" s="122"/>
      <c r="F27" s="122"/>
      <c r="G27" s="122"/>
      <c r="H27" s="122"/>
      <c r="I27" s="122"/>
      <c r="J27" s="122"/>
      <c r="K27" s="165"/>
      <c r="L27" s="122"/>
      <c r="M27" s="122"/>
      <c r="N27" s="122"/>
      <c r="O27" s="122"/>
      <c r="P27" s="122"/>
    </row>
    <row r="28" spans="1:16" s="74" customFormat="1" ht="13.5" customHeight="1">
      <c r="A28" s="92" t="s">
        <v>96</v>
      </c>
      <c r="B28" s="237" t="s">
        <v>97</v>
      </c>
      <c r="C28" s="238"/>
      <c r="D28" s="117">
        <f aca="true" t="shared" si="10" ref="D28:K28">+(D4+D15)-(D7+D22)</f>
        <v>1975934.6000000015</v>
      </c>
      <c r="E28" s="117">
        <f t="shared" si="10"/>
        <v>871761.879999999</v>
      </c>
      <c r="F28" s="117">
        <f t="shared" si="10"/>
        <v>0</v>
      </c>
      <c r="G28" s="117">
        <f t="shared" si="10"/>
        <v>0</v>
      </c>
      <c r="H28" s="117">
        <f t="shared" si="10"/>
        <v>0</v>
      </c>
      <c r="I28" s="117">
        <f t="shared" si="10"/>
        <v>0.0027000010013580322</v>
      </c>
      <c r="J28" s="117">
        <f t="shared" si="10"/>
        <v>0.0024809986352920532</v>
      </c>
      <c r="K28" s="163">
        <f t="shared" si="10"/>
        <v>0.003455422818660736</v>
      </c>
      <c r="L28" s="117">
        <f>+(L4+L15)-(L7+L22)</f>
        <v>0.004659093916416168</v>
      </c>
      <c r="M28" s="117">
        <f>+(M4+M15)-(M7+M22)</f>
        <v>-0.001501135528087616</v>
      </c>
      <c r="N28" s="117">
        <f>+(N4+N15)-(N7+N22)</f>
        <v>0.0031538307666778564</v>
      </c>
      <c r="O28" s="117">
        <f>+(O4+O15)-(O7+O22)</f>
        <v>-0.00035155564546585083</v>
      </c>
      <c r="P28" s="117">
        <f>+(P4+P15)-(P7+P22)</f>
        <v>0.004337906837463379</v>
      </c>
    </row>
    <row r="29" spans="1:16" s="74" customFormat="1" ht="13.5" customHeight="1">
      <c r="A29" s="92" t="s">
        <v>98</v>
      </c>
      <c r="B29" s="237" t="s">
        <v>99</v>
      </c>
      <c r="C29" s="238"/>
      <c r="D29" s="117">
        <f>D17-D24</f>
        <v>29431.159999999974</v>
      </c>
      <c r="E29" s="117">
        <f aca="true" t="shared" si="11" ref="E29:K29">E17-E24</f>
        <v>833532.95</v>
      </c>
      <c r="F29" s="117">
        <f t="shared" si="11"/>
        <v>3534578.5799999996</v>
      </c>
      <c r="G29" s="117">
        <f t="shared" si="11"/>
        <v>1245143.0899999999</v>
      </c>
      <c r="H29" s="117">
        <f t="shared" si="11"/>
        <v>-774637.56</v>
      </c>
      <c r="I29" s="117">
        <f t="shared" si="11"/>
        <v>-954446.56</v>
      </c>
      <c r="J29" s="117">
        <f t="shared" si="11"/>
        <v>-803493.56</v>
      </c>
      <c r="K29" s="117">
        <f t="shared" si="11"/>
        <v>-791215.56</v>
      </c>
      <c r="L29" s="117">
        <f aca="true" t="shared" si="12" ref="L29:P30">L17-L24</f>
        <v>-655545.56</v>
      </c>
      <c r="M29" s="117">
        <f t="shared" si="12"/>
        <v>-573888.95</v>
      </c>
      <c r="N29" s="117">
        <f t="shared" si="12"/>
        <v>-389960</v>
      </c>
      <c r="O29" s="117">
        <f t="shared" si="12"/>
        <v>-389960</v>
      </c>
      <c r="P29" s="117">
        <f t="shared" si="12"/>
        <v>-372460.65</v>
      </c>
    </row>
    <row r="30" spans="1:16" s="108" customFormat="1" ht="13.5" customHeight="1">
      <c r="A30" s="120"/>
      <c r="B30" s="242" t="s">
        <v>79</v>
      </c>
      <c r="C30" s="243"/>
      <c r="D30" s="119">
        <f>D18-D25</f>
        <v>0</v>
      </c>
      <c r="E30" s="119">
        <f aca="true" t="shared" si="13" ref="E30:K30">E18-E25</f>
        <v>0</v>
      </c>
      <c r="F30" s="119">
        <f t="shared" si="13"/>
        <v>0</v>
      </c>
      <c r="G30" s="119">
        <f t="shared" si="13"/>
        <v>0</v>
      </c>
      <c r="H30" s="119">
        <f t="shared" si="13"/>
        <v>0</v>
      </c>
      <c r="I30" s="119">
        <f t="shared" si="13"/>
        <v>0</v>
      </c>
      <c r="J30" s="119">
        <f>J18-J26</f>
        <v>0</v>
      </c>
      <c r="K30" s="119">
        <f t="shared" si="13"/>
        <v>0</v>
      </c>
      <c r="L30" s="119">
        <f t="shared" si="12"/>
        <v>0</v>
      </c>
      <c r="M30" s="119">
        <f t="shared" si="12"/>
        <v>0</v>
      </c>
      <c r="N30" s="119">
        <f t="shared" si="12"/>
        <v>0</v>
      </c>
      <c r="O30" s="119">
        <f t="shared" si="12"/>
        <v>0</v>
      </c>
      <c r="P30" s="119">
        <f t="shared" si="12"/>
        <v>0</v>
      </c>
    </row>
    <row r="31" spans="1:16" s="74" customFormat="1" ht="13.5" customHeight="1">
      <c r="A31" s="92" t="s">
        <v>100</v>
      </c>
      <c r="B31" s="237" t="s">
        <v>101</v>
      </c>
      <c r="C31" s="238"/>
      <c r="D31" s="131"/>
      <c r="E31" s="132"/>
      <c r="F31" s="132"/>
      <c r="G31" s="132"/>
      <c r="H31" s="132"/>
      <c r="I31" s="132"/>
      <c r="J31" s="132"/>
      <c r="K31" s="133"/>
      <c r="L31" s="133"/>
      <c r="M31" s="133"/>
      <c r="N31" s="133"/>
      <c r="O31" s="133"/>
      <c r="P31" s="133"/>
    </row>
    <row r="32" spans="1:16" s="78" customFormat="1" ht="13.5" customHeight="1">
      <c r="A32" s="75" t="s">
        <v>103</v>
      </c>
      <c r="B32" s="177" t="s">
        <v>102</v>
      </c>
      <c r="C32" s="248"/>
      <c r="D32" s="129">
        <v>1948744.76</v>
      </c>
      <c r="E32" s="129">
        <v>1978175.92</v>
      </c>
      <c r="F32" s="129">
        <v>2811708.87</v>
      </c>
      <c r="G32" s="166">
        <v>4460465.31</v>
      </c>
      <c r="H32" s="119">
        <f>G37</f>
        <v>5705608.399999999</v>
      </c>
      <c r="I32" s="119">
        <f>H37</f>
        <v>4930970.84</v>
      </c>
      <c r="J32" s="119">
        <f aca="true" t="shared" si="14" ref="J32:P32">I37</f>
        <v>3976524.28</v>
      </c>
      <c r="K32" s="119">
        <f t="shared" si="14"/>
        <v>3173030.7199999997</v>
      </c>
      <c r="L32" s="119">
        <f t="shared" si="14"/>
        <v>2381815.1599999997</v>
      </c>
      <c r="M32" s="119">
        <f t="shared" si="14"/>
        <v>1726269.5999999996</v>
      </c>
      <c r="N32" s="119">
        <f t="shared" si="14"/>
        <v>1152380.6499999997</v>
      </c>
      <c r="O32" s="119">
        <f t="shared" si="14"/>
        <v>762420.6499999997</v>
      </c>
      <c r="P32" s="119">
        <f t="shared" si="14"/>
        <v>372460.6499999997</v>
      </c>
    </row>
    <row r="33" spans="1:16" s="108" customFormat="1" ht="13.5" customHeight="1">
      <c r="A33" s="120"/>
      <c r="B33" s="242" t="s">
        <v>79</v>
      </c>
      <c r="C33" s="243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</row>
    <row r="34" spans="1:16" s="78" customFormat="1" ht="13.5" customHeight="1">
      <c r="A34" s="75" t="s">
        <v>104</v>
      </c>
      <c r="B34" s="177" t="s">
        <v>105</v>
      </c>
      <c r="C34" s="248"/>
      <c r="D34" s="119">
        <v>0</v>
      </c>
      <c r="E34" s="119">
        <v>572.78</v>
      </c>
      <c r="F34" s="119">
        <v>0</v>
      </c>
      <c r="G34" s="119"/>
      <c r="H34" s="119"/>
      <c r="I34" s="119"/>
      <c r="J34" s="119"/>
      <c r="K34" s="119"/>
      <c r="L34" s="119"/>
      <c r="M34" s="119"/>
      <c r="N34" s="119"/>
      <c r="O34" s="119"/>
      <c r="P34" s="119"/>
    </row>
    <row r="35" spans="1:16" s="78" customFormat="1" ht="13.5" customHeight="1">
      <c r="A35" s="75" t="s">
        <v>106</v>
      </c>
      <c r="B35" s="177" t="s">
        <v>107</v>
      </c>
      <c r="C35" s="248"/>
      <c r="D35" s="119">
        <v>0</v>
      </c>
      <c r="E35" s="119">
        <v>0</v>
      </c>
      <c r="F35" s="119">
        <v>558308</v>
      </c>
      <c r="G35" s="119">
        <v>0</v>
      </c>
      <c r="H35" s="119"/>
      <c r="I35" s="119"/>
      <c r="J35" s="119"/>
      <c r="K35" s="119"/>
      <c r="L35" s="119"/>
      <c r="M35" s="119"/>
      <c r="N35" s="119"/>
      <c r="O35" s="119"/>
      <c r="P35" s="119"/>
    </row>
    <row r="36" spans="1:16" s="108" customFormat="1" ht="13.5" customHeight="1">
      <c r="A36" s="120"/>
      <c r="B36" s="242" t="s">
        <v>79</v>
      </c>
      <c r="C36" s="243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</row>
    <row r="37" spans="1:16" s="78" customFormat="1" ht="13.5" customHeight="1">
      <c r="A37" s="75" t="s">
        <v>108</v>
      </c>
      <c r="B37" s="177" t="s">
        <v>109</v>
      </c>
      <c r="C37" s="248"/>
      <c r="D37" s="129">
        <f>+D32+D29+D34-D35</f>
        <v>1978175.92</v>
      </c>
      <c r="E37" s="129">
        <f aca="true" t="shared" si="15" ref="E37:K37">E29+E32+E34-E35</f>
        <v>2812281.65</v>
      </c>
      <c r="F37" s="129">
        <f t="shared" si="15"/>
        <v>5787979.449999999</v>
      </c>
      <c r="G37" s="119">
        <f t="shared" si="15"/>
        <v>5705608.399999999</v>
      </c>
      <c r="H37" s="119">
        <f t="shared" si="15"/>
        <v>4930970.84</v>
      </c>
      <c r="I37" s="119">
        <f t="shared" si="15"/>
        <v>3976524.28</v>
      </c>
      <c r="J37" s="119">
        <f t="shared" si="15"/>
        <v>3173030.7199999997</v>
      </c>
      <c r="K37" s="119">
        <f t="shared" si="15"/>
        <v>2381815.1599999997</v>
      </c>
      <c r="L37" s="119">
        <f>L29+L32+L34-L35</f>
        <v>1726269.5999999996</v>
      </c>
      <c r="M37" s="119">
        <f>M29+M32+M34-M35</f>
        <v>1152380.6499999997</v>
      </c>
      <c r="N37" s="119">
        <f>N29+N32+N34-N35</f>
        <v>762420.6499999997</v>
      </c>
      <c r="O37" s="119">
        <f>O29+O32+O34-O35</f>
        <v>372460.6499999997</v>
      </c>
      <c r="P37" s="119">
        <f>P29+P32+P34-P35</f>
        <v>-3.4924596548080444E-10</v>
      </c>
    </row>
    <row r="38" spans="1:16" s="108" customFormat="1" ht="13.5" customHeight="1">
      <c r="A38" s="120"/>
      <c r="B38" s="242" t="s">
        <v>79</v>
      </c>
      <c r="C38" s="243"/>
      <c r="D38" s="119">
        <f>+D33+D30-D36</f>
        <v>0</v>
      </c>
      <c r="E38" s="119">
        <f aca="true" t="shared" si="16" ref="E38:K38">+E33+E30-E36</f>
        <v>0</v>
      </c>
      <c r="F38" s="119">
        <f t="shared" si="16"/>
        <v>0</v>
      </c>
      <c r="G38" s="119">
        <f t="shared" si="16"/>
        <v>0</v>
      </c>
      <c r="H38" s="119">
        <f t="shared" si="16"/>
        <v>0</v>
      </c>
      <c r="I38" s="119">
        <f t="shared" si="16"/>
        <v>0</v>
      </c>
      <c r="J38" s="119">
        <f t="shared" si="16"/>
        <v>0</v>
      </c>
      <c r="K38" s="119">
        <f t="shared" si="16"/>
        <v>0</v>
      </c>
      <c r="L38" s="119">
        <f>+L33+L30-L36</f>
        <v>0</v>
      </c>
      <c r="M38" s="119">
        <f>+M33+M30-M36</f>
        <v>0</v>
      </c>
      <c r="N38" s="119">
        <f>+N33+N30-N36</f>
        <v>0</v>
      </c>
      <c r="O38" s="119">
        <f>+O33+O30-O36</f>
        <v>0</v>
      </c>
      <c r="P38" s="119">
        <f>+P33+P30-P36</f>
        <v>0</v>
      </c>
    </row>
    <row r="39" spans="1:16" s="74" customFormat="1" ht="27" customHeight="1">
      <c r="A39" s="134" t="s">
        <v>110</v>
      </c>
      <c r="B39" s="244" t="s">
        <v>112</v>
      </c>
      <c r="C39" s="24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</row>
    <row r="40" spans="1:16" s="78" customFormat="1" ht="13.5" customHeight="1">
      <c r="A40" s="75" t="s">
        <v>111</v>
      </c>
      <c r="B40" s="177" t="s">
        <v>73</v>
      </c>
      <c r="C40" s="248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</row>
    <row r="41" spans="1:16" s="108" customFormat="1" ht="13.5" customHeight="1">
      <c r="A41" s="120"/>
      <c r="B41" s="242" t="s">
        <v>79</v>
      </c>
      <c r="C41" s="243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</row>
    <row r="42" spans="1:16" s="74" customFormat="1" ht="12.75">
      <c r="A42" s="134" t="s">
        <v>113</v>
      </c>
      <c r="B42" s="244" t="s">
        <v>114</v>
      </c>
      <c r="C42" s="24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s="78" customFormat="1" ht="33" customHeight="1">
      <c r="A43" s="75" t="s">
        <v>115</v>
      </c>
      <c r="B43" s="249" t="s">
        <v>116</v>
      </c>
      <c r="C43" s="250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s="108" customFormat="1" ht="13.5" customHeight="1">
      <c r="A44" s="120"/>
      <c r="B44" s="242" t="s">
        <v>79</v>
      </c>
      <c r="C44" s="243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</row>
    <row r="45" spans="1:16" s="74" customFormat="1" ht="12.75">
      <c r="A45" s="134" t="s">
        <v>117</v>
      </c>
      <c r="B45" s="244" t="s">
        <v>118</v>
      </c>
      <c r="C45" s="245"/>
      <c r="D45" s="71"/>
      <c r="E45" s="72"/>
      <c r="F45" s="72"/>
      <c r="G45" s="72"/>
      <c r="H45" s="72"/>
      <c r="I45" s="72"/>
      <c r="J45" s="72"/>
      <c r="K45" s="73"/>
      <c r="L45" s="73"/>
      <c r="M45" s="73"/>
      <c r="N45" s="73"/>
      <c r="O45" s="73"/>
      <c r="P45" s="73"/>
    </row>
    <row r="46" spans="1:16" s="78" customFormat="1" ht="27" customHeight="1">
      <c r="A46" s="137" t="s">
        <v>119</v>
      </c>
      <c r="B46" s="249" t="s">
        <v>123</v>
      </c>
      <c r="C46" s="250"/>
      <c r="D46" s="138" t="s">
        <v>126</v>
      </c>
      <c r="E46" s="138" t="s">
        <v>126</v>
      </c>
      <c r="F46" s="138" t="s">
        <v>126</v>
      </c>
      <c r="G46" s="139">
        <f aca="true" t="shared" si="17" ref="G46:P46">(((D5-D8+D6)/D4)+((E5-E8+E6)/E4)+((F5-F8+F6)/F4))/3</f>
        <v>0.05795673875155402</v>
      </c>
      <c r="H46" s="139">
        <f t="shared" si="17"/>
        <v>0.03361862833432871</v>
      </c>
      <c r="I46" s="139">
        <f t="shared" si="17"/>
        <v>0.030659098967998</v>
      </c>
      <c r="J46" s="139">
        <f t="shared" si="17"/>
        <v>0.05180277510431969</v>
      </c>
      <c r="K46" s="139">
        <f t="shared" si="17"/>
        <v>0.06758527476753805</v>
      </c>
      <c r="L46" s="139">
        <f t="shared" si="17"/>
        <v>0.07727086516827385</v>
      </c>
      <c r="M46" s="139">
        <f t="shared" si="17"/>
        <v>0.08689163717743549</v>
      </c>
      <c r="N46" s="139">
        <f t="shared" si="17"/>
        <v>0.09749497815875463</v>
      </c>
      <c r="O46" s="139">
        <f t="shared" si="17"/>
        <v>0.10793681806439197</v>
      </c>
      <c r="P46" s="139">
        <f t="shared" si="17"/>
        <v>0.11822158371899982</v>
      </c>
    </row>
    <row r="47" spans="1:16" s="108" customFormat="1" ht="13.5" customHeight="1">
      <c r="A47" s="120"/>
      <c r="B47" s="242" t="s">
        <v>120</v>
      </c>
      <c r="C47" s="243"/>
      <c r="D47" s="140" t="s">
        <v>126</v>
      </c>
      <c r="E47" s="140" t="s">
        <v>126</v>
      </c>
      <c r="F47" s="140" t="s">
        <v>126</v>
      </c>
      <c r="G47" s="141">
        <f aca="true" t="shared" si="18" ref="G47:P47">(((D5-D8+D6)/D4)+((E5-E8+E6)/E4)+((F5-F8+F6)/F4))/3</f>
        <v>0.05795673875155402</v>
      </c>
      <c r="H47" s="141">
        <f t="shared" si="18"/>
        <v>0.03361862833432871</v>
      </c>
      <c r="I47" s="141">
        <f t="shared" si="18"/>
        <v>0.030659098967998</v>
      </c>
      <c r="J47" s="141">
        <f t="shared" si="18"/>
        <v>0.05180277510431969</v>
      </c>
      <c r="K47" s="141">
        <f t="shared" si="18"/>
        <v>0.06758527476753805</v>
      </c>
      <c r="L47" s="141">
        <f t="shared" si="18"/>
        <v>0.07727086516827385</v>
      </c>
      <c r="M47" s="141">
        <f t="shared" si="18"/>
        <v>0.08689163717743549</v>
      </c>
      <c r="N47" s="141">
        <f t="shared" si="18"/>
        <v>0.09749497815875463</v>
      </c>
      <c r="O47" s="141">
        <f t="shared" si="18"/>
        <v>0.10793681806439197</v>
      </c>
      <c r="P47" s="141">
        <f t="shared" si="18"/>
        <v>0.11822158371899982</v>
      </c>
    </row>
    <row r="48" spans="1:16" s="78" customFormat="1" ht="27" customHeight="1">
      <c r="A48" s="137" t="s">
        <v>121</v>
      </c>
      <c r="B48" s="249" t="s">
        <v>124</v>
      </c>
      <c r="C48" s="250"/>
      <c r="D48" s="138" t="s">
        <v>126</v>
      </c>
      <c r="E48" s="138" t="s">
        <v>126</v>
      </c>
      <c r="F48" s="138" t="s">
        <v>126</v>
      </c>
      <c r="G48" s="139">
        <f aca="true" t="shared" si="19" ref="G48:P48">(G11+G9+G24)/G4</f>
        <v>0.033359956277023324</v>
      </c>
      <c r="H48" s="139">
        <f t="shared" si="19"/>
        <v>0.041442301029620335</v>
      </c>
      <c r="I48" s="139">
        <f t="shared" si="19"/>
        <v>0.040588545257455436</v>
      </c>
      <c r="J48" s="139">
        <f t="shared" si="19"/>
        <v>0.033600603233652424</v>
      </c>
      <c r="K48" s="139">
        <f t="shared" si="19"/>
        <v>0.031020311838300826</v>
      </c>
      <c r="L48" s="139">
        <f t="shared" si="19"/>
        <v>0.025363067847751303</v>
      </c>
      <c r="M48" s="139">
        <f t="shared" si="19"/>
        <v>0.021508942464067978</v>
      </c>
      <c r="N48" s="139">
        <f t="shared" si="19"/>
        <v>0.015372568802129272</v>
      </c>
      <c r="O48" s="139">
        <f t="shared" si="19"/>
        <v>0.01439564509232337</v>
      </c>
      <c r="P48" s="139">
        <f t="shared" si="19"/>
        <v>0.012141233312674693</v>
      </c>
    </row>
    <row r="49" spans="1:16" s="108" customFormat="1" ht="13.5" customHeight="1">
      <c r="A49" s="120"/>
      <c r="B49" s="242" t="s">
        <v>120</v>
      </c>
      <c r="C49" s="243"/>
      <c r="D49" s="140" t="s">
        <v>126</v>
      </c>
      <c r="E49" s="140" t="s">
        <v>126</v>
      </c>
      <c r="F49" s="140" t="s">
        <v>126</v>
      </c>
      <c r="G49" s="141">
        <f>(G9+G10+G11+G12+G24+G25)/G4</f>
        <v>0.033359956277023324</v>
      </c>
      <c r="H49" s="141">
        <f>(H9+H10+H11+H12+H24+H25)/H4</f>
        <v>0.041442301029620335</v>
      </c>
      <c r="I49" s="141">
        <f>(I9+I10+I11+I12+I24+I25)/I4</f>
        <v>0.040588545257455436</v>
      </c>
      <c r="J49" s="141">
        <f>(J9+J10+J11+J12+J24+J26)/J4</f>
        <v>0.033600603233652424</v>
      </c>
      <c r="K49" s="141">
        <f aca="true" t="shared" si="20" ref="K49:P49">(K9+K10+K11+K12+K24+K25)/K4</f>
        <v>0.031020311838300826</v>
      </c>
      <c r="L49" s="141">
        <f t="shared" si="20"/>
        <v>0.025363067847751303</v>
      </c>
      <c r="M49" s="141">
        <f t="shared" si="20"/>
        <v>0.021508942464067978</v>
      </c>
      <c r="N49" s="141">
        <f t="shared" si="20"/>
        <v>0.015372568802129272</v>
      </c>
      <c r="O49" s="141">
        <f t="shared" si="20"/>
        <v>0.01439564509232337</v>
      </c>
      <c r="P49" s="141">
        <f t="shared" si="20"/>
        <v>0.012141233312674693</v>
      </c>
    </row>
    <row r="50" spans="1:16" s="78" customFormat="1" ht="27" customHeight="1">
      <c r="A50" s="137" t="s">
        <v>122</v>
      </c>
      <c r="B50" s="249" t="s">
        <v>125</v>
      </c>
      <c r="C50" s="250"/>
      <c r="D50" s="138" t="s">
        <v>126</v>
      </c>
      <c r="E50" s="138" t="s">
        <v>126</v>
      </c>
      <c r="F50" s="138" t="s">
        <v>126</v>
      </c>
      <c r="G50" s="136" t="str">
        <f aca="true" t="shared" si="21" ref="G50:P50">IF(G48&lt;=G46,"TAK","NIE")</f>
        <v>TAK</v>
      </c>
      <c r="H50" s="136" t="str">
        <f t="shared" si="21"/>
        <v>NIE</v>
      </c>
      <c r="I50" s="136" t="str">
        <f t="shared" si="21"/>
        <v>NIE</v>
      </c>
      <c r="J50" s="136" t="str">
        <f t="shared" si="21"/>
        <v>TAK</v>
      </c>
      <c r="K50" s="136" t="str">
        <f t="shared" si="21"/>
        <v>TAK</v>
      </c>
      <c r="L50" s="136" t="str">
        <f t="shared" si="21"/>
        <v>TAK</v>
      </c>
      <c r="M50" s="136" t="str">
        <f t="shared" si="21"/>
        <v>TAK</v>
      </c>
      <c r="N50" s="136" t="str">
        <f t="shared" si="21"/>
        <v>TAK</v>
      </c>
      <c r="O50" s="136" t="str">
        <f t="shared" si="21"/>
        <v>TAK</v>
      </c>
      <c r="P50" s="136" t="str">
        <f t="shared" si="21"/>
        <v>TAK</v>
      </c>
    </row>
    <row r="52" ht="15">
      <c r="A52" s="142" t="s">
        <v>138</v>
      </c>
    </row>
    <row r="53" ht="15">
      <c r="A53" s="142" t="s">
        <v>139</v>
      </c>
    </row>
  </sheetData>
  <sheetProtection/>
  <mergeCells count="39">
    <mergeCell ref="A1:M1"/>
    <mergeCell ref="A2:P2"/>
    <mergeCell ref="B33:C33"/>
    <mergeCell ref="B41:C41"/>
    <mergeCell ref="B29:C29"/>
    <mergeCell ref="B40:C40"/>
    <mergeCell ref="B32:C32"/>
    <mergeCell ref="B34:C34"/>
    <mergeCell ref="B36:C36"/>
    <mergeCell ref="B35:C35"/>
    <mergeCell ref="B42:C42"/>
    <mergeCell ref="B43:C43"/>
    <mergeCell ref="B50:C50"/>
    <mergeCell ref="B46:C46"/>
    <mergeCell ref="B47:C47"/>
    <mergeCell ref="B48:C48"/>
    <mergeCell ref="B49:C49"/>
    <mergeCell ref="B44:C44"/>
    <mergeCell ref="B45:C45"/>
    <mergeCell ref="B39:C39"/>
    <mergeCell ref="B30:C30"/>
    <mergeCell ref="B38:C38"/>
    <mergeCell ref="B5:B6"/>
    <mergeCell ref="B13:C13"/>
    <mergeCell ref="B22:C22"/>
    <mergeCell ref="B37:C37"/>
    <mergeCell ref="B31:C31"/>
    <mergeCell ref="B15:C15"/>
    <mergeCell ref="B16:C16"/>
    <mergeCell ref="B3:C3"/>
    <mergeCell ref="B4:C4"/>
    <mergeCell ref="B24:B27"/>
    <mergeCell ref="B28:C28"/>
    <mergeCell ref="B7:C7"/>
    <mergeCell ref="B8:C8"/>
    <mergeCell ref="B9:B12"/>
    <mergeCell ref="B17:B21"/>
    <mergeCell ref="B23:C23"/>
    <mergeCell ref="B14:C14"/>
  </mergeCells>
  <printOptions/>
  <pageMargins left="0.7086614173228347" right="0.7086614173228347" top="0.7874015748031497" bottom="0.35433070866141736" header="0.31496062992125984" footer="0.3149606299212598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Aleksander Serafin</cp:lastModifiedBy>
  <cp:lastPrinted>2011-08-29T09:34:49Z</cp:lastPrinted>
  <dcterms:created xsi:type="dcterms:W3CDTF">2010-06-03T23:08:47Z</dcterms:created>
  <dcterms:modified xsi:type="dcterms:W3CDTF">2011-09-07T07:32:43Z</dcterms:modified>
  <cp:category/>
  <cp:version/>
  <cp:contentType/>
  <cp:contentStatus/>
</cp:coreProperties>
</file>