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'Arkusz3'!$A$4:$G$33</definedName>
  </definedNames>
  <calcPr fullCalcOnLoad="1"/>
</workbook>
</file>

<file path=xl/sharedStrings.xml><?xml version="1.0" encoding="utf-8"?>
<sst xmlns="http://schemas.openxmlformats.org/spreadsheetml/2006/main" count="110" uniqueCount="110">
  <si>
    <t>Tabela nr III</t>
  </si>
  <si>
    <t>Wysokość minimalnych stawek wymnagrodzenia zasadniczego w roku 2006      nauczycieli zatrydnionych w Gminie Kuźnia Raciborska                                                  przy założeniu wzrostu o 1,5% w stosunku do poprzedniego roku.</t>
  </si>
  <si>
    <t>Wykształcenie</t>
  </si>
  <si>
    <t>STOPNIE AWANSU ZAWODOWEGO</t>
  </si>
  <si>
    <t>Nauczyciel stażysta</t>
  </si>
  <si>
    <t>Nauczyciel kontraktowy</t>
  </si>
  <si>
    <t>Nauczyciel mianowany</t>
  </si>
  <si>
    <t>Nauczyciel dyplomowany</t>
  </si>
  <si>
    <t>mgr z pp i więcej</t>
  </si>
  <si>
    <t>wz, mgr bez p. p.</t>
  </si>
  <si>
    <t>lic bez p.p. lub KN</t>
  </si>
  <si>
    <t>SN, LP</t>
  </si>
  <si>
    <t>Tabela nr IV</t>
  </si>
  <si>
    <t>Struktura zatrudnienia nauczycieli w Gminie Kuźnia Raciborskaw roku 2006*</t>
  </si>
  <si>
    <t>Wykształcenie</t>
  </si>
  <si>
    <t>STOPNIE AWANSU ZAWODOWEGO</t>
  </si>
  <si>
    <t>Nauczyciel stażysta</t>
  </si>
  <si>
    <t>Nauczyciel kontraktowy</t>
  </si>
  <si>
    <t>Nauczyciel mianowany</t>
  </si>
  <si>
    <t>Nauczyciel dyplomowany</t>
  </si>
  <si>
    <t>mgr z pp i więcej</t>
  </si>
  <si>
    <t>wz, mgr bez p. p.</t>
  </si>
  <si>
    <t>lic bez p.p. lub KN</t>
  </si>
  <si>
    <t>SN, LP</t>
  </si>
  <si>
    <t>Razem</t>
  </si>
  <si>
    <t>*)Na podstawie danych przekazanych do sprawozdania SIO (wrzesień 2005r.)</t>
  </si>
  <si>
    <t>Tabela nr V</t>
  </si>
  <si>
    <t xml:space="preserve">Skutki finansowe wypłaty minimalnych wynagrodzeń zasadniczych nauczycieli w roku 2006 </t>
  </si>
  <si>
    <t>Wykształcenie</t>
  </si>
  <si>
    <t>STOPNIE AWANSU ZAWODOWEGO</t>
  </si>
  <si>
    <t>Nauczyciel stażysta</t>
  </si>
  <si>
    <t>Nauczyciel kontraktowy</t>
  </si>
  <si>
    <t>Nauczyciel mianowany</t>
  </si>
  <si>
    <t>Nauczyciel dyplomowany</t>
  </si>
  <si>
    <t>mgr z pp i więcej</t>
  </si>
  <si>
    <t>wz, mgr bez p. p.</t>
  </si>
  <si>
    <t>lic bez p.p. lub KN</t>
  </si>
  <si>
    <t>SN, LP</t>
  </si>
  <si>
    <t>Razem</t>
  </si>
  <si>
    <t>Przeciętnie</t>
  </si>
  <si>
    <t>Wykonano: 31 październik 2005 r.</t>
  </si>
  <si>
    <t>Tabela nr VII</t>
  </si>
  <si>
    <t xml:space="preserve">Skutki finansowe wypłaty planowanego wynagrodzenia nauczycieli w roku 2006 </t>
  </si>
  <si>
    <t>Obliczone za okres jednego miesiąca</t>
  </si>
  <si>
    <t>STOPNIE AWANSU ZAWODOWEGO</t>
  </si>
  <si>
    <t>Nauczyciel stażysta</t>
  </si>
  <si>
    <t>Nauczyciel kontraktowy</t>
  </si>
  <si>
    <t>Nauczyciel mianowany</t>
  </si>
  <si>
    <t>Nauczyciel dyplomowany</t>
  </si>
  <si>
    <t>Liczba nauczycieli</t>
  </si>
  <si>
    <t>Wysługa lat</t>
  </si>
  <si>
    <t>2 lata</t>
  </si>
  <si>
    <t>7 lat</t>
  </si>
  <si>
    <t>19 lat</t>
  </si>
  <si>
    <t>20 lat</t>
  </si>
  <si>
    <t>Średnie wynagrodzenie zasadnicze</t>
  </si>
  <si>
    <t>Wysługa lat</t>
  </si>
  <si>
    <t>Uciążliwość pracy</t>
  </si>
  <si>
    <t>Dodatki funkcyjne</t>
  </si>
  <si>
    <t>Dodatek motywacyjny</t>
  </si>
  <si>
    <t>Godziny ponadwymiarowe</t>
  </si>
  <si>
    <t>Zastępstwa doraźne</t>
  </si>
  <si>
    <t>Nagrody Jubileuszowe</t>
  </si>
  <si>
    <t>Fundusz nagród</t>
  </si>
  <si>
    <t>Dodatkowe wynagrodzenie roczne "13"</t>
  </si>
  <si>
    <t>Zasiłek na zagospodarowanie</t>
  </si>
  <si>
    <t>Odprawy emerytalne</t>
  </si>
  <si>
    <t>Razem</t>
  </si>
  <si>
    <t>Średnie wymagane ustawą</t>
  </si>
  <si>
    <t>Różnica</t>
  </si>
  <si>
    <t>Wykonano: 31 październik 2005 r.</t>
  </si>
  <si>
    <t xml:space="preserve">Skutki finansowe wypłaty planowanego wynagrodzenia nauczycieli w roku 2006 </t>
  </si>
  <si>
    <t>Obliczone za okres jednego miesiąca oraz w skali roku 2006</t>
  </si>
  <si>
    <t>STOPNIE AWANSU ZAWODOWEGO</t>
  </si>
  <si>
    <t>Nauczyciel stażysta</t>
  </si>
  <si>
    <t>Nauczyciel kontraktowy</t>
  </si>
  <si>
    <t>Nauczyciel mianowany</t>
  </si>
  <si>
    <t>Nauczyciel dyplomowany</t>
  </si>
  <si>
    <t>Razem w skali miesiąca</t>
  </si>
  <si>
    <t>Razem          w skali roku</t>
  </si>
  <si>
    <t>Liczba nauczycieli</t>
  </si>
  <si>
    <t>Wysługa lat</t>
  </si>
  <si>
    <t>2 lata</t>
  </si>
  <si>
    <t>7 lat</t>
  </si>
  <si>
    <t>19 lat</t>
  </si>
  <si>
    <t>20 lat</t>
  </si>
  <si>
    <t>Średnie wynagrodzenie zasadnicze</t>
  </si>
  <si>
    <t>Wysługa lat</t>
  </si>
  <si>
    <t>Uciążliwość pracy</t>
  </si>
  <si>
    <t>Dodatki funkcyjne</t>
  </si>
  <si>
    <t>Dodatek motywacyjny</t>
  </si>
  <si>
    <t>Godziny ponadwymiarowe</t>
  </si>
  <si>
    <t>Zastępstwa doraźne</t>
  </si>
  <si>
    <t>Nagrody Jubileuszowe</t>
  </si>
  <si>
    <t>Fundusz nagród</t>
  </si>
  <si>
    <t>Dodatkowe wynagrodzenie roczne "13"</t>
  </si>
  <si>
    <t>Zasiłek na zagospodarowanie</t>
  </si>
  <si>
    <t>Odprawy emerytalne</t>
  </si>
  <si>
    <t>Razem</t>
  </si>
  <si>
    <t>Średnie wymagane ustawą</t>
  </si>
  <si>
    <t>Różnica</t>
  </si>
  <si>
    <t xml:space="preserve">Razem </t>
  </si>
  <si>
    <t>Rocznie</t>
  </si>
  <si>
    <t>Wraz z pochodnymi</t>
  </si>
  <si>
    <t>ZFŚŚ</t>
  </si>
  <si>
    <t>Dodatek wiejski- rocznie</t>
  </si>
  <si>
    <t>Dodatek mieszkaniowy-rocznie</t>
  </si>
  <si>
    <t>Dokształcanie-rocznie</t>
  </si>
  <si>
    <t>Razem wynagrodzenie - pedagodzy 2006</t>
  </si>
  <si>
    <t>Wykonano: 31 październik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</si>
</sst>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"/>
    <numFmt numFmtId="166" formatCode="#,##0.00"/>
  </numFmts>
  <fonts count="7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2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4" fontId="0" fillId="0" borderId="1" xfId="0" applyBorder="1" applyAlignment="1">
      <alignment horizont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right"/>
    </xf>
    <xf numFmtId="166" fontId="2" fillId="0" borderId="2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4" fillId="0" borderId="5" xfId="0" applyFont="1" applyFill="1" applyBorder="1" applyAlignment="1">
      <alignment horizontal="left"/>
    </xf>
    <xf numFmtId="164" fontId="0" fillId="0" borderId="6" xfId="0" applyBorder="1" applyAlignment="1">
      <alignment horizontal="left"/>
    </xf>
    <xf numFmtId="164" fontId="2" fillId="0" borderId="2" xfId="0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4" fontId="4" fillId="0" borderId="0" xfId="0" applyFont="1" applyFill="1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4" fillId="0" borderId="2" xfId="0" applyFont="1" applyBorder="1" applyAlignment="1">
      <alignment horizontal="left"/>
    </xf>
    <xf numFmtId="166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2" fillId="0" borderId="7" xfId="0" applyFont="1" applyBorder="1" applyAlignment="1">
      <alignment horizontal="center" wrapText="1"/>
    </xf>
    <xf numFmtId="164" fontId="0" fillId="0" borderId="9" xfId="0" applyBorder="1" applyAlignment="1">
      <alignment/>
    </xf>
    <xf numFmtId="166" fontId="4" fillId="0" borderId="7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4" fontId="2" fillId="0" borderId="2" xfId="0" applyFont="1" applyBorder="1" applyAlignment="1">
      <alignment/>
    </xf>
    <xf numFmtId="166" fontId="4" fillId="0" borderId="8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4" fontId="2" fillId="0" borderId="2" xfId="0" applyFont="1" applyFill="1" applyBorder="1" applyAlignment="1">
      <alignment horizontal="left"/>
    </xf>
    <xf numFmtId="164" fontId="0" fillId="0" borderId="7" xfId="0" applyBorder="1" applyAlignment="1">
      <alignment/>
    </xf>
    <xf numFmtId="164" fontId="4" fillId="0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">
      <selection activeCell="F3" sqref="F3"/>
    </sheetView>
  </sheetViews>
  <sheetFormatPr defaultColWidth="9.00390625" defaultRowHeight="12.75"/>
  <cols>
    <col min="1" max="1" width="19.375" style="1" customWidth="1"/>
    <col min="2" max="2" width="13.625" style="1" customWidth="1"/>
    <col min="3" max="3" width="15.625" style="1" customWidth="1"/>
    <col min="4" max="4" width="12.875" style="1" customWidth="1"/>
    <col min="5" max="5" width="17.00390625" style="1" customWidth="1"/>
    <col min="6" max="256" width="9.00390625" style="0" customWidth="1"/>
  </cols>
  <sheetData>
    <row r="1" ht="12.75">
      <c r="A1" s="2" t="s">
        <v>0</v>
      </c>
    </row>
    <row r="2" ht="12.75"/>
    <row r="3" spans="1:7" ht="12.75">
      <c r="A3" s="3" t="s">
        <v>1</v>
      </c>
      <c r="B3" s="3"/>
      <c r="C3" s="3"/>
      <c r="D3" s="3"/>
      <c r="E3" s="3"/>
      <c r="F3" s="5"/>
      <c r="G3" s="5"/>
    </row>
    <row r="4" spans="1:5" ht="44.25" customHeight="1">
      <c r="A4" s="3"/>
      <c r="B4" s="3"/>
      <c r="C4" s="3"/>
      <c r="D4" s="3"/>
      <c r="E4" s="3"/>
    </row>
    <row r="5" spans="1:5" ht="35.25" customHeight="1">
      <c r="A5" s="7"/>
      <c r="B5" s="7"/>
      <c r="C5" s="7"/>
      <c r="D5" s="7"/>
      <c r="E5" s="7"/>
    </row>
    <row r="6" spans="1:5" ht="12.75">
      <c r="A6" s="10" t="s">
        <v>2</v>
      </c>
      <c r="B6" s="11" t="s">
        <v>3</v>
      </c>
      <c r="C6" s="11"/>
      <c r="D6" s="11"/>
      <c r="E6" s="11"/>
    </row>
    <row r="7" spans="1:5" ht="34.5" customHeight="1">
      <c r="A7" s="10"/>
      <c r="B7" s="11" t="s">
        <v>4</v>
      </c>
      <c r="C7" s="11" t="s">
        <v>5</v>
      </c>
      <c r="D7" s="11" t="s">
        <v>6</v>
      </c>
      <c r="E7" s="11" t="s">
        <v>7</v>
      </c>
    </row>
    <row r="8" spans="1:5" ht="12.75">
      <c r="A8" s="12" t="s">
        <v>8</v>
      </c>
      <c r="B8" s="13">
        <f>1.015*1143</f>
        <v>1160.145</v>
      </c>
      <c r="C8" s="13">
        <f>1.015*1355</f>
        <v>1375.3249999999998</v>
      </c>
      <c r="D8" s="13">
        <f>1.015*1716</f>
        <v>1741.7399999999998</v>
      </c>
      <c r="E8" s="13">
        <f>1.015*2059</f>
        <v>2089.8849999999998</v>
      </c>
    </row>
    <row r="9" spans="1:5" ht="12.75">
      <c r="A9" s="12" t="s">
        <v>9</v>
      </c>
      <c r="B9" s="13">
        <f>1.015*983</f>
        <v>997.7449999999999</v>
      </c>
      <c r="C9" s="13">
        <f>1.015*1164</f>
        <v>1181.4599999999998</v>
      </c>
      <c r="D9" s="13">
        <f>1.015*1473</f>
        <v>1495.0949999999998</v>
      </c>
      <c r="E9" s="13">
        <f>1.015*1770</f>
        <v>1796.5499999999997</v>
      </c>
    </row>
    <row r="10" spans="1:5" ht="12.75">
      <c r="A10" s="12" t="s">
        <v>10</v>
      </c>
      <c r="B10" s="13">
        <f>1.015*845</f>
        <v>857.675</v>
      </c>
      <c r="C10" s="13">
        <f>1.015*1004</f>
        <v>1019.06</v>
      </c>
      <c r="D10" s="13">
        <f>1.015*1271</f>
        <v>1290.0649999999998</v>
      </c>
      <c r="E10" s="13">
        <f>1.015*1526</f>
        <v>1548.8899999999999</v>
      </c>
    </row>
    <row r="11" spans="1:5" ht="12.75">
      <c r="A11" s="12" t="s">
        <v>11</v>
      </c>
      <c r="B11" s="13">
        <f>1.015*701</f>
        <v>711.515</v>
      </c>
      <c r="C11" s="13">
        <f>1.015*836</f>
        <v>848.54</v>
      </c>
      <c r="D11" s="13">
        <f>1.015*1056</f>
        <v>1071.84</v>
      </c>
      <c r="E11" s="13">
        <f>1.015*1268</f>
        <v>1287.02</v>
      </c>
    </row>
    <row r="12" ht="12.75"/>
    <row r="13" ht="12.75">
      <c r="A13" s="2" t="s">
        <v>12</v>
      </c>
    </row>
    <row r="14" ht="12.75"/>
    <row r="15" spans="1:5" ht="12.75">
      <c r="A15" s="3" t="s">
        <v>13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12.75">
      <c r="A17" s="7"/>
      <c r="B17" s="7"/>
      <c r="C17" s="7"/>
      <c r="D17" s="7"/>
      <c r="E17" s="7"/>
    </row>
    <row r="18" spans="1:5" ht="12.75">
      <c r="A18" s="10" t="s">
        <v>14</v>
      </c>
      <c r="B18" s="11" t="s">
        <v>15</v>
      </c>
      <c r="C18" s="11"/>
      <c r="D18" s="11"/>
      <c r="E18" s="11"/>
    </row>
    <row r="19" spans="1:5" ht="21.75">
      <c r="A19" s="10"/>
      <c r="B19" s="11" t="s">
        <v>16</v>
      </c>
      <c r="C19" s="11" t="s">
        <v>17</v>
      </c>
      <c r="D19" s="11" t="s">
        <v>18</v>
      </c>
      <c r="E19" s="11" t="s">
        <v>19</v>
      </c>
    </row>
    <row r="20" spans="1:5" ht="12.75">
      <c r="A20" s="12" t="s">
        <v>20</v>
      </c>
      <c r="B20" s="14">
        <v>2</v>
      </c>
      <c r="C20" s="14">
        <f>11.98+0.05</f>
        <v>12.030000000000001</v>
      </c>
      <c r="D20" s="14">
        <f>71.57+9.44</f>
        <v>81.00999999999999</v>
      </c>
      <c r="E20" s="14">
        <f>25.5+4.19</f>
        <v>29.69</v>
      </c>
    </row>
    <row r="21" spans="1:5" ht="12.75">
      <c r="A21" s="12" t="s">
        <v>21</v>
      </c>
      <c r="B21" s="14">
        <v>0.83</v>
      </c>
      <c r="C21" s="14">
        <v>1.5</v>
      </c>
      <c r="D21" s="14">
        <f>4.67+3.29</f>
        <v>7.96</v>
      </c>
      <c r="E21" s="14">
        <v>0.84</v>
      </c>
    </row>
    <row r="22" spans="1:5" ht="12.75">
      <c r="A22" s="12" t="s">
        <v>22</v>
      </c>
      <c r="B22" s="14"/>
      <c r="C22" s="14"/>
      <c r="D22" s="14">
        <v>3</v>
      </c>
      <c r="E22" s="14"/>
    </row>
    <row r="23" spans="1:5" ht="12.75">
      <c r="A23" s="12" t="s">
        <v>23</v>
      </c>
      <c r="B23" s="14"/>
      <c r="C23" s="14"/>
      <c r="D23" s="14">
        <v>2</v>
      </c>
      <c r="E23" s="14"/>
    </row>
    <row r="24" spans="1:6" ht="12.75">
      <c r="A24" s="15" t="s">
        <v>24</v>
      </c>
      <c r="B24" s="16">
        <f>SUM(B20:B23)</f>
        <v>2.83</v>
      </c>
      <c r="C24" s="16">
        <f>SUM(C20:C23)</f>
        <v>13.530000000000001</v>
      </c>
      <c r="D24" s="16">
        <f>SUM(D20:D23)</f>
        <v>93.97</v>
      </c>
      <c r="E24" s="16">
        <f>SUM(E20:E23)</f>
        <v>30.53</v>
      </c>
      <c r="F24" s="17"/>
    </row>
    <row r="25" spans="1:5" ht="12.75">
      <c r="A25" s="18" t="s">
        <v>25</v>
      </c>
      <c r="B25" s="18"/>
      <c r="C25" s="18"/>
      <c r="D25" s="18"/>
      <c r="E25" s="18"/>
    </row>
    <row r="26" ht="12.75"/>
    <row r="27" ht="12.75"/>
    <row r="28" ht="12.75">
      <c r="A28" s="2" t="s">
        <v>26</v>
      </c>
    </row>
    <row r="29" spans="1:5" ht="12.75">
      <c r="A29" s="3" t="s">
        <v>27</v>
      </c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7"/>
      <c r="B31" s="7"/>
      <c r="C31" s="7"/>
      <c r="D31" s="7"/>
      <c r="E31" s="7"/>
    </row>
    <row r="32" spans="1:5" ht="12.75">
      <c r="A32" s="10" t="s">
        <v>28</v>
      </c>
      <c r="B32" s="11" t="s">
        <v>29</v>
      </c>
      <c r="C32" s="11"/>
      <c r="D32" s="11"/>
      <c r="E32" s="11"/>
    </row>
    <row r="33" spans="1:5" ht="21.75">
      <c r="A33" s="10"/>
      <c r="B33" s="11" t="s">
        <v>30</v>
      </c>
      <c r="C33" s="11" t="s">
        <v>31</v>
      </c>
      <c r="D33" s="11" t="s">
        <v>32</v>
      </c>
      <c r="E33" s="11" t="s">
        <v>33</v>
      </c>
    </row>
    <row r="34" spans="1:5" ht="12.75">
      <c r="A34" s="12" t="s">
        <v>34</v>
      </c>
      <c r="B34" s="14">
        <f aca="true" t="shared" si="0" ref="B34:E35">B20*B8</f>
        <v>2320.29</v>
      </c>
      <c r="C34" s="14">
        <f t="shared" si="0"/>
        <v>16545.15975</v>
      </c>
      <c r="D34" s="14">
        <f t="shared" si="0"/>
        <v>141098.35739999998</v>
      </c>
      <c r="E34" s="14">
        <f t="shared" si="0"/>
        <v>62048.68564999999</v>
      </c>
    </row>
    <row r="35" spans="1:5" ht="12.75">
      <c r="A35" s="12" t="s">
        <v>35</v>
      </c>
      <c r="B35" s="14">
        <f t="shared" si="0"/>
        <v>828.12835</v>
      </c>
      <c r="C35" s="14">
        <f t="shared" si="0"/>
        <v>1772.1899999999996</v>
      </c>
      <c r="D35" s="14">
        <f t="shared" si="0"/>
        <v>11900.956199999999</v>
      </c>
      <c r="E35" s="14">
        <f t="shared" si="0"/>
        <v>1509.1019999999996</v>
      </c>
    </row>
    <row r="36" spans="1:5" ht="12.75">
      <c r="A36" s="12" t="s">
        <v>36</v>
      </c>
      <c r="B36" s="14"/>
      <c r="C36" s="14"/>
      <c r="D36" s="14">
        <f>D22*D10</f>
        <v>3870.1949999999997</v>
      </c>
      <c r="E36" s="14"/>
    </row>
    <row r="37" spans="1:5" ht="12.75">
      <c r="A37" s="12" t="s">
        <v>37</v>
      </c>
      <c r="B37" s="14"/>
      <c r="C37" s="14"/>
      <c r="D37" s="14">
        <f>D23*D11</f>
        <v>2143.68</v>
      </c>
      <c r="E37" s="14"/>
    </row>
    <row r="38" spans="1:5" ht="12.75">
      <c r="A38" s="20" t="s">
        <v>38</v>
      </c>
      <c r="B38" s="21">
        <f>SUM(B34:B37)</f>
        <v>3148.41835</v>
      </c>
      <c r="C38" s="21">
        <f>SUM(C34:C37)</f>
        <v>18317.349749999998</v>
      </c>
      <c r="D38" s="21">
        <f>SUM(D34:D37)</f>
        <v>159013.18859999996</v>
      </c>
      <c r="E38" s="21">
        <f>SUM(E34:E37)</f>
        <v>63557.78764999999</v>
      </c>
    </row>
    <row r="39" spans="1:5" ht="12.75">
      <c r="A39" s="20" t="s">
        <v>39</v>
      </c>
      <c r="B39" s="16">
        <f>B38/B24</f>
        <v>1112.5153180212014</v>
      </c>
      <c r="C39" s="16">
        <f>C38/C24</f>
        <v>1353.8322062084255</v>
      </c>
      <c r="D39" s="16">
        <f>D38/D24</f>
        <v>1692.1697201234433</v>
      </c>
      <c r="E39" s="16">
        <f>E38/E24</f>
        <v>2081.8142040615785</v>
      </c>
    </row>
    <row r="40" ht="12.75"/>
    <row r="41" ht="12.75">
      <c r="A41" s="22" t="s">
        <v>40</v>
      </c>
    </row>
  </sheetData>
  <mergeCells count="13">
    <mergeCell ref="A3:E4"/>
    <mergeCell ref="A5:E5"/>
    <mergeCell ref="A6:A7"/>
    <mergeCell ref="B6:E6"/>
    <mergeCell ref="A15:E16"/>
    <mergeCell ref="A17:E17"/>
    <mergeCell ref="A18:A19"/>
    <mergeCell ref="B18:E18"/>
    <mergeCell ref="A25:E25"/>
    <mergeCell ref="A29:E30"/>
    <mergeCell ref="A31:E31"/>
    <mergeCell ref="A32:A33"/>
    <mergeCell ref="B32:E32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4" sqref="A4"/>
    </sheetView>
  </sheetViews>
  <sheetFormatPr defaultColWidth="9.00390625" defaultRowHeight="12.75"/>
  <cols>
    <col min="1" max="1" width="29.375" style="1" customWidth="1"/>
    <col min="2" max="2" width="14.875" style="1" customWidth="1"/>
    <col min="3" max="3" width="15.75390625" style="1" customWidth="1"/>
    <col min="4" max="4" width="16.375" style="1" customWidth="1"/>
    <col min="5" max="5" width="18.25390625" style="1" customWidth="1"/>
    <col min="6" max="256" width="9.00390625" style="0" customWidth="1"/>
  </cols>
  <sheetData>
    <row r="1" ht="12.75"/>
    <row r="2" ht="12.75"/>
    <row r="3" ht="12.75">
      <c r="A3" s="2" t="s">
        <v>41</v>
      </c>
    </row>
    <row r="4" spans="1:5" ht="12.75">
      <c r="A4" s="3" t="s">
        <v>42</v>
      </c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23" t="s">
        <v>43</v>
      </c>
      <c r="B6" s="23"/>
      <c r="C6" s="23"/>
      <c r="D6" s="23"/>
      <c r="E6" s="23"/>
    </row>
    <row r="7" spans="1:5" ht="12.75">
      <c r="A7" s="10"/>
      <c r="B7" s="11" t="s">
        <v>44</v>
      </c>
      <c r="C7" s="11"/>
      <c r="D7" s="11"/>
      <c r="E7" s="11"/>
    </row>
    <row r="8" spans="1:5" ht="21.75">
      <c r="A8" s="10"/>
      <c r="B8" s="11" t="s">
        <v>45</v>
      </c>
      <c r="C8" s="11" t="s">
        <v>46</v>
      </c>
      <c r="D8" s="11" t="s">
        <v>47</v>
      </c>
      <c r="E8" s="11" t="s">
        <v>48</v>
      </c>
    </row>
    <row r="9" spans="1:6" ht="12.75">
      <c r="A9" s="26" t="s">
        <v>49</v>
      </c>
      <c r="B9" s="27">
        <v>2.83</v>
      </c>
      <c r="C9" s="27">
        <v>13.53</v>
      </c>
      <c r="D9" s="27">
        <v>93.97</v>
      </c>
      <c r="E9" s="27">
        <v>30.53</v>
      </c>
      <c r="F9" s="17"/>
    </row>
    <row r="10" spans="1:6" ht="12.75">
      <c r="A10" s="26" t="s">
        <v>50</v>
      </c>
      <c r="B10" s="27" t="s">
        <v>51</v>
      </c>
      <c r="C10" s="27" t="s">
        <v>52</v>
      </c>
      <c r="D10" s="27" t="s">
        <v>53</v>
      </c>
      <c r="E10" s="27" t="s">
        <v>54</v>
      </c>
      <c r="F10" s="17"/>
    </row>
    <row r="11" spans="1:5" ht="12.75">
      <c r="A11" s="26" t="s">
        <v>55</v>
      </c>
      <c r="B11" s="27">
        <v>1112.52</v>
      </c>
      <c r="C11" s="27">
        <v>1353.83</v>
      </c>
      <c r="D11" s="27">
        <v>1692.17</v>
      </c>
      <c r="E11" s="27">
        <v>2081.81</v>
      </c>
    </row>
    <row r="12" spans="1:5" ht="12.75">
      <c r="A12" s="26" t="s">
        <v>56</v>
      </c>
      <c r="B12" s="27">
        <v>0</v>
      </c>
      <c r="C12" s="27">
        <v>94.81</v>
      </c>
      <c r="D12" s="27">
        <v>259.64</v>
      </c>
      <c r="E12" s="27">
        <v>375.74</v>
      </c>
    </row>
    <row r="13" spans="1:5" ht="12.75">
      <c r="A13" s="26" t="s">
        <v>57</v>
      </c>
      <c r="B13" s="27">
        <v>0</v>
      </c>
      <c r="C13" s="27">
        <f>(C11*0.3)/C9</f>
        <v>30.018403547671834</v>
      </c>
      <c r="D13" s="27">
        <f>2*(D11*0.15)/D9</f>
        <v>5.402266680855592</v>
      </c>
      <c r="E13" s="27">
        <f>2*(E11*0.3)/E9</f>
        <v>40.91339665902391</v>
      </c>
    </row>
    <row r="14" spans="1:5" ht="12.75">
      <c r="A14" s="26" t="s">
        <v>58</v>
      </c>
      <c r="B14" s="27">
        <v>0</v>
      </c>
      <c r="C14" s="27">
        <v>9</v>
      </c>
      <c r="D14" s="27">
        <f>37+2+17</f>
        <v>56</v>
      </c>
      <c r="E14" s="27">
        <f>86+5.7+19+8.3</f>
        <v>119</v>
      </c>
    </row>
    <row r="15" spans="1:5" ht="12.75">
      <c r="A15" s="26" t="s">
        <v>59</v>
      </c>
      <c r="B15" s="27">
        <v>30</v>
      </c>
      <c r="C15" s="27">
        <v>30</v>
      </c>
      <c r="D15" s="27">
        <v>43</v>
      </c>
      <c r="E15" s="27">
        <v>60</v>
      </c>
    </row>
    <row r="16" spans="1:5" ht="12.75">
      <c r="A16" s="26" t="s">
        <v>60</v>
      </c>
      <c r="B16" s="27">
        <f>4.16*2.3*B11/75</f>
        <v>141.9278848</v>
      </c>
      <c r="C16" s="27">
        <f>4.16*1.5*C11/75</f>
        <v>112.638656</v>
      </c>
      <c r="D16" s="27">
        <f>4.16*2.6*D11/75</f>
        <v>244.0334762666667</v>
      </c>
      <c r="E16" s="27">
        <f>4.16*2.2*E11/75</f>
        <v>254.03633493333336</v>
      </c>
    </row>
    <row r="17" spans="1:5" ht="12.75">
      <c r="A17" s="26" t="s">
        <v>61</v>
      </c>
      <c r="B17" s="27">
        <f>0.01*B24</f>
        <v>14.725559999999998</v>
      </c>
      <c r="C17" s="27">
        <f>0.01*C24</f>
        <v>18.40695</v>
      </c>
      <c r="D17" s="27">
        <f>0.01*D24</f>
        <v>25.769729999999996</v>
      </c>
      <c r="E17" s="27">
        <f>0.01*E24</f>
        <v>33.132509999999996</v>
      </c>
    </row>
    <row r="18" spans="1:5" ht="12.75">
      <c r="A18" s="28" t="s">
        <v>62</v>
      </c>
      <c r="B18" s="27">
        <v>0</v>
      </c>
      <c r="C18" s="27">
        <f>1.015*1502/12/C9</f>
        <v>9.389812761763979</v>
      </c>
      <c r="D18" s="27">
        <f>1.015*45500/12/C9</f>
        <v>284.4450603596944</v>
      </c>
      <c r="E18" s="27">
        <f>((1.015*21050)/12)/E9</f>
        <v>58.31900316628452</v>
      </c>
    </row>
    <row r="19" spans="1:5" ht="12.75">
      <c r="A19" s="28" t="s">
        <v>63</v>
      </c>
      <c r="B19" s="27">
        <f>0.01*(B11+B12+B13+B16+B17)</f>
        <v>12.691734448</v>
      </c>
      <c r="C19" s="27">
        <f>0.01*(C11+C12+C13+C16+C17)</f>
        <v>16.097040095476718</v>
      </c>
      <c r="D19" s="27">
        <f>0.01*(D11+D12+D13+D16+D17)</f>
        <v>22.27015472947522</v>
      </c>
      <c r="E19" s="27">
        <f>0.01*(E11+E12+E13+E16+E17)</f>
        <v>27.856322415923575</v>
      </c>
    </row>
    <row r="20" spans="1:5" ht="12.75">
      <c r="A20" s="28" t="s">
        <v>64</v>
      </c>
      <c r="B20" s="27">
        <f>0.085*(B11+B12+B13+B16+B17)</f>
        <v>107.879742808</v>
      </c>
      <c r="C20" s="27">
        <f>0.085*(C11+C12+C13+C16+C17)</f>
        <v>136.82484081155212</v>
      </c>
      <c r="D20" s="27">
        <f>0.085*(D11+D12+D13+D16+D17)</f>
        <v>189.2963152005394</v>
      </c>
      <c r="E20" s="27">
        <f>0.085*(E11+E12+E13+E16+E17)</f>
        <v>236.77874053535038</v>
      </c>
    </row>
    <row r="21" spans="1:5" ht="12.75">
      <c r="A21" s="28" t="s">
        <v>65</v>
      </c>
      <c r="B21" s="27">
        <v>0</v>
      </c>
      <c r="C21" s="27">
        <v>33.9</v>
      </c>
      <c r="D21" s="27">
        <v>0</v>
      </c>
      <c r="E21" s="27">
        <v>0</v>
      </c>
    </row>
    <row r="22" spans="1:5" ht="12.75">
      <c r="A22" s="28" t="s">
        <v>66</v>
      </c>
      <c r="B22" s="27">
        <f>(92000/12)/141</f>
        <v>54.37352245862884</v>
      </c>
      <c r="C22" s="27">
        <f>(92000/12)/141</f>
        <v>54.37352245862884</v>
      </c>
      <c r="D22" s="27">
        <f>(92000/12)/141</f>
        <v>54.37352245862884</v>
      </c>
      <c r="E22" s="27">
        <f>(92000/12)/141</f>
        <v>54.37352245862884</v>
      </c>
    </row>
    <row r="23" spans="1:5" ht="12.75">
      <c r="A23" s="28" t="s">
        <v>67</v>
      </c>
      <c r="B23" s="29">
        <f>SUM(B11:B22)</f>
        <v>1474.1184445146287</v>
      </c>
      <c r="C23" s="29">
        <f>SUM(C11:C22)</f>
        <v>1899.2892256750933</v>
      </c>
      <c r="D23" s="29">
        <f>SUM(D11:D22)</f>
        <v>2876.4005256958603</v>
      </c>
      <c r="E23" s="29">
        <f>SUM(E11:E22)</f>
        <v>3341.9598301685446</v>
      </c>
    </row>
    <row r="24" spans="1:5" ht="12.75">
      <c r="A24" s="28" t="s">
        <v>68</v>
      </c>
      <c r="B24" s="30">
        <f>0.82*1795.8</f>
        <v>1472.5559999999998</v>
      </c>
      <c r="C24" s="30">
        <f>1.25*B24</f>
        <v>1840.6949999999997</v>
      </c>
      <c r="D24" s="30">
        <f>1.75*B24</f>
        <v>2576.9729999999995</v>
      </c>
      <c r="E24" s="30">
        <f>2.25*B24</f>
        <v>3313.2509999999997</v>
      </c>
    </row>
    <row r="25" spans="1:5" ht="12.75">
      <c r="A25" s="28" t="s">
        <v>69</v>
      </c>
      <c r="B25" s="27">
        <f>B23-B24</f>
        <v>1.5624445146288508</v>
      </c>
      <c r="C25" s="27">
        <f>C23-C24</f>
        <v>58.59422567509364</v>
      </c>
      <c r="D25" s="27">
        <f>D23-D24</f>
        <v>299.4275256958608</v>
      </c>
      <c r="E25" s="27">
        <f>E23-E24</f>
        <v>28.708830168544864</v>
      </c>
    </row>
    <row r="26" spans="1:5" ht="12.75">
      <c r="A26" s="31"/>
      <c r="B26" s="27"/>
      <c r="C26" s="27"/>
      <c r="D26" s="27"/>
      <c r="E26" s="27"/>
    </row>
    <row r="27" ht="12.75"/>
    <row r="28" ht="12.75">
      <c r="A28" s="22" t="s">
        <v>70</v>
      </c>
    </row>
  </sheetData>
  <mergeCells count="4">
    <mergeCell ref="A4:E5"/>
    <mergeCell ref="A6:E6"/>
    <mergeCell ref="A7:A8"/>
    <mergeCell ref="B7:E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E20" sqref="E20"/>
    </sheetView>
  </sheetViews>
  <sheetFormatPr defaultColWidth="9.00390625" defaultRowHeight="12.75"/>
  <cols>
    <col min="1" max="1" width="29.875" style="1" customWidth="1"/>
    <col min="2" max="2" width="14.00390625" style="1" customWidth="1"/>
    <col min="3" max="3" width="14.75390625" style="1" customWidth="1"/>
    <col min="4" max="4" width="15.00390625" style="1" customWidth="1"/>
    <col min="5" max="5" width="18.00390625" style="1" customWidth="1"/>
    <col min="6" max="6" width="12.875" style="1" customWidth="1"/>
    <col min="7" max="7" width="12.75390625" style="1" customWidth="1"/>
    <col min="8" max="256" width="9.00390625" style="0" customWidth="1"/>
  </cols>
  <sheetData>
    <row r="1" ht="12.75"/>
    <row r="2" ht="12.75"/>
    <row r="3" ht="12.75">
      <c r="A3" s="2"/>
    </row>
    <row r="4" spans="1:5" ht="12.75">
      <c r="A4" s="3" t="s">
        <v>71</v>
      </c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7" ht="12.75">
      <c r="A6" s="32" t="s">
        <v>72</v>
      </c>
      <c r="B6" s="32"/>
      <c r="C6" s="32"/>
      <c r="D6" s="32"/>
      <c r="E6" s="32"/>
      <c r="F6" s="33"/>
      <c r="G6" s="33"/>
    </row>
    <row r="7" spans="1:7" ht="12.75">
      <c r="A7" s="10"/>
      <c r="B7" s="34" t="s">
        <v>73</v>
      </c>
      <c r="C7" s="34"/>
      <c r="D7" s="34"/>
      <c r="E7" s="34"/>
      <c r="F7" s="35"/>
      <c r="G7" s="35"/>
    </row>
    <row r="8" spans="1:7" ht="21.75">
      <c r="A8" s="10"/>
      <c r="B8" s="11" t="s">
        <v>74</v>
      </c>
      <c r="C8" s="11" t="s">
        <v>75</v>
      </c>
      <c r="D8" s="11" t="s">
        <v>76</v>
      </c>
      <c r="E8" s="34" t="s">
        <v>77</v>
      </c>
      <c r="F8" s="11" t="s">
        <v>78</v>
      </c>
      <c r="G8" s="11" t="s">
        <v>79</v>
      </c>
    </row>
    <row r="9" spans="1:7" ht="12.75">
      <c r="A9" s="26" t="s">
        <v>80</v>
      </c>
      <c r="B9" s="27">
        <v>2.83</v>
      </c>
      <c r="C9" s="27">
        <v>13.53</v>
      </c>
      <c r="D9" s="27">
        <v>93.97</v>
      </c>
      <c r="E9" s="36">
        <v>30.53</v>
      </c>
      <c r="F9" s="31"/>
      <c r="G9" s="31"/>
    </row>
    <row r="10" spans="1:7" ht="12.75">
      <c r="A10" s="26" t="s">
        <v>81</v>
      </c>
      <c r="B10" s="27" t="s">
        <v>82</v>
      </c>
      <c r="C10" s="27" t="s">
        <v>83</v>
      </c>
      <c r="D10" s="27" t="s">
        <v>84</v>
      </c>
      <c r="E10" s="36" t="s">
        <v>85</v>
      </c>
      <c r="F10" s="31"/>
      <c r="G10" s="31"/>
    </row>
    <row r="11" spans="1:7" ht="12.75">
      <c r="A11" s="26" t="s">
        <v>86</v>
      </c>
      <c r="B11" s="27">
        <v>1112.52</v>
      </c>
      <c r="C11" s="27">
        <v>1353.83</v>
      </c>
      <c r="D11" s="27">
        <v>1692.17</v>
      </c>
      <c r="E11" s="36">
        <v>2081.81</v>
      </c>
      <c r="F11" s="16">
        <f>B9*B11+C9*C11+D9*D11+E9*E11</f>
        <v>244036.6257</v>
      </c>
      <c r="G11" s="16">
        <f>12*F11</f>
        <v>2928439.5084</v>
      </c>
    </row>
    <row r="12" spans="1:7" ht="12.75">
      <c r="A12" s="26" t="s">
        <v>87</v>
      </c>
      <c r="B12" s="27">
        <v>0</v>
      </c>
      <c r="C12" s="27">
        <v>94.81</v>
      </c>
      <c r="D12" s="27">
        <v>259.64</v>
      </c>
      <c r="E12" s="36">
        <v>375.74</v>
      </c>
      <c r="F12" s="16">
        <f>B9*B12+C9*C12+D9*D12+E9*E12</f>
        <v>37152.4923</v>
      </c>
      <c r="G12" s="16">
        <f aca="true" t="shared" si="0" ref="G12:G24">12*F12</f>
        <v>445829.9076</v>
      </c>
    </row>
    <row r="13" spans="1:7" ht="12.75">
      <c r="A13" s="26" t="s">
        <v>88</v>
      </c>
      <c r="B13" s="27">
        <v>0</v>
      </c>
      <c r="C13" s="27">
        <f>(C11*0.3)/C9</f>
        <v>30.018403547671834</v>
      </c>
      <c r="D13" s="27">
        <f>2*(D11*0.15)/D9</f>
        <v>5.402266680855592</v>
      </c>
      <c r="E13" s="36">
        <f>2*(E11*0.3)/E9</f>
        <v>40.91339665902391</v>
      </c>
      <c r="F13" s="16">
        <f>B9*B13+C9*C13+D9*D13+E9*E13</f>
        <v>2162.886</v>
      </c>
      <c r="G13" s="16">
        <f t="shared" si="0"/>
        <v>25954.631999999998</v>
      </c>
    </row>
    <row r="14" spans="1:7" ht="12.75">
      <c r="A14" s="26" t="s">
        <v>89</v>
      </c>
      <c r="B14" s="27">
        <v>18.5</v>
      </c>
      <c r="C14" s="27">
        <v>18.5</v>
      </c>
      <c r="D14" s="27">
        <v>53</v>
      </c>
      <c r="E14" s="36">
        <v>117</v>
      </c>
      <c r="F14" s="16">
        <f>B9*B14+C9*C14+D9*D14+E9*E14</f>
        <v>8855.08</v>
      </c>
      <c r="G14" s="16">
        <f t="shared" si="0"/>
        <v>106260.95999999999</v>
      </c>
    </row>
    <row r="15" spans="1:7" ht="12.75">
      <c r="A15" s="26" t="s">
        <v>90</v>
      </c>
      <c r="B15" s="27">
        <v>35</v>
      </c>
      <c r="C15" s="27">
        <v>35</v>
      </c>
      <c r="D15" s="27">
        <v>43.3</v>
      </c>
      <c r="E15" s="36">
        <v>68.3</v>
      </c>
      <c r="F15" s="16">
        <f>B9*B15+C9*C15+D9*D15+E9*E15</f>
        <v>6726.700000000001</v>
      </c>
      <c r="G15" s="16">
        <f t="shared" si="0"/>
        <v>80720.40000000001</v>
      </c>
    </row>
    <row r="16" spans="1:7" ht="12.75">
      <c r="A16" s="26" t="s">
        <v>91</v>
      </c>
      <c r="B16" s="27">
        <f>4.16*2.3*B11/75</f>
        <v>141.9278848</v>
      </c>
      <c r="C16" s="27">
        <f>4.16*1.5*C11/75</f>
        <v>112.638656</v>
      </c>
      <c r="D16" s="27">
        <f>4.16*2.6*D11/75</f>
        <v>244.0334762666667</v>
      </c>
      <c r="E16" s="36">
        <f>4.16*2.2*E11/75</f>
        <v>254.03633493333336</v>
      </c>
      <c r="F16" s="16">
        <f>B9*B16+C9*C16+D9*D16+E9*E16</f>
        <v>32613.21199995734</v>
      </c>
      <c r="G16" s="16">
        <f t="shared" si="0"/>
        <v>391358.5439994881</v>
      </c>
    </row>
    <row r="17" spans="1:7" ht="12.75">
      <c r="A17" s="26" t="s">
        <v>92</v>
      </c>
      <c r="B17" s="27">
        <f>0.01*B24</f>
        <v>14.725559999999998</v>
      </c>
      <c r="C17" s="27">
        <f>0.01*C24</f>
        <v>18.40695</v>
      </c>
      <c r="D17" s="27">
        <f>0.01*D24</f>
        <v>25.769729999999996</v>
      </c>
      <c r="E17" s="36">
        <f>0.01*E24</f>
        <v>33.132509999999996</v>
      </c>
      <c r="F17" s="16">
        <f>B9*B17+C9*C17+D9*D17+E9*E17</f>
        <v>3723.8364266999997</v>
      </c>
      <c r="G17" s="16">
        <f t="shared" si="0"/>
        <v>44686.0371204</v>
      </c>
    </row>
    <row r="18" spans="1:9" ht="12.75">
      <c r="A18" s="28" t="s">
        <v>93</v>
      </c>
      <c r="B18" s="27">
        <v>205</v>
      </c>
      <c r="C18" s="27">
        <v>205</v>
      </c>
      <c r="D18" s="27">
        <v>205</v>
      </c>
      <c r="E18" s="36">
        <v>205</v>
      </c>
      <c r="F18" s="16">
        <f>B9*B18+C9*C18+D9*D18+E9*E18</f>
        <v>28876.3</v>
      </c>
      <c r="G18" s="16">
        <f t="shared" si="0"/>
        <v>346515.6</v>
      </c>
      <c r="H18" s="1">
        <f>C18*C9+D18*D9+E18*E9</f>
        <v>28296.15</v>
      </c>
      <c r="I18" s="1">
        <f>H18/140</f>
        <v>202.11535714285716</v>
      </c>
    </row>
    <row r="19" spans="1:7" ht="12.75">
      <c r="A19" s="28" t="s">
        <v>94</v>
      </c>
      <c r="B19" s="27">
        <f>0.01*(B11+B12+B13+B16+B17)</f>
        <v>12.691734448</v>
      </c>
      <c r="C19" s="27">
        <f>0.01*(C11+C12+C13+C16+C17)</f>
        <v>16.097040095476718</v>
      </c>
      <c r="D19" s="27">
        <f>0.01*(D11+D12+D13+D16+D17)</f>
        <v>22.27015472947522</v>
      </c>
      <c r="E19" s="36">
        <f>0.01*(E11+E12+E13+E16+E17)</f>
        <v>27.856322415923575</v>
      </c>
      <c r="F19" s="16">
        <f>B9*B19+C9*C19+D9*D19+E9*E19</f>
        <v>3196.8905242665733</v>
      </c>
      <c r="G19" s="16">
        <f t="shared" si="0"/>
        <v>38362.68629119888</v>
      </c>
    </row>
    <row r="20" spans="1:7" ht="12.75">
      <c r="A20" s="28" t="s">
        <v>95</v>
      </c>
      <c r="B20" s="27">
        <f>0.085*(B11+B12+B13+B16+B17)</f>
        <v>107.879742808</v>
      </c>
      <c r="C20" s="27">
        <f>0.085*(C11+C12+C13+C16+C17)</f>
        <v>136.82484081155212</v>
      </c>
      <c r="D20" s="27">
        <f>0.085*(D11+D12+D13+D16+D17)</f>
        <v>189.2963152005394</v>
      </c>
      <c r="E20" s="36">
        <f>0.085*(E11+E12+E13+E16+E17)</f>
        <v>236.77874053535038</v>
      </c>
      <c r="F20" s="16">
        <f>B9*B20+C9*C20+D9*D20+E9*E20</f>
        <v>27173.569456265875</v>
      </c>
      <c r="G20" s="16">
        <f t="shared" si="0"/>
        <v>326082.8334751905</v>
      </c>
    </row>
    <row r="21" spans="1:7" ht="12.75">
      <c r="A21" s="28" t="s">
        <v>96</v>
      </c>
      <c r="B21" s="27">
        <v>0</v>
      </c>
      <c r="C21" s="27">
        <v>33.9</v>
      </c>
      <c r="D21" s="27">
        <v>0</v>
      </c>
      <c r="E21" s="36">
        <v>0</v>
      </c>
      <c r="F21" s="16">
        <f>B9*B21+C9*C21+D9*D21+E9*E21</f>
        <v>458.66700000000003</v>
      </c>
      <c r="G21" s="16">
        <f t="shared" si="0"/>
        <v>5504.004000000001</v>
      </c>
    </row>
    <row r="22" spans="1:7" ht="12.75">
      <c r="A22" s="28" t="s">
        <v>97</v>
      </c>
      <c r="B22" s="27">
        <f>(92000/12)/141</f>
        <v>54.37352245862884</v>
      </c>
      <c r="C22" s="27">
        <f>(92000/12)/141</f>
        <v>54.37352245862884</v>
      </c>
      <c r="D22" s="27">
        <f>(92000/12)/141</f>
        <v>54.37352245862884</v>
      </c>
      <c r="E22" s="36">
        <f>(92000/12)/141</f>
        <v>54.37352245862884</v>
      </c>
      <c r="F22" s="16">
        <f>B9*B22+C9*C22+D9*D22+E9*E22</f>
        <v>7659.054373522459</v>
      </c>
      <c r="G22" s="16">
        <f t="shared" si="0"/>
        <v>91908.6524822695</v>
      </c>
    </row>
    <row r="23" spans="1:7" ht="12.75">
      <c r="A23" s="28" t="s">
        <v>98</v>
      </c>
      <c r="B23" s="29">
        <f>SUM(B11:B22)</f>
        <v>1702.6184445146287</v>
      </c>
      <c r="C23" s="29">
        <f>SUM(C11:C22)</f>
        <v>2109.3994129133293</v>
      </c>
      <c r="D23" s="29">
        <f>SUM(D11:D22)</f>
        <v>2794.255465336166</v>
      </c>
      <c r="E23" s="37">
        <f>SUM(E11:E22)</f>
        <v>3494.94082700226</v>
      </c>
      <c r="F23" s="16">
        <f>B9*B23+C9*C23+D9*D23+E9*E23</f>
        <v>402635.3137807123</v>
      </c>
      <c r="G23" s="16">
        <f t="shared" si="0"/>
        <v>4831623.765368547</v>
      </c>
    </row>
    <row r="24" spans="1:7" ht="12.75">
      <c r="A24" s="28" t="s">
        <v>99</v>
      </c>
      <c r="B24" s="30">
        <f>0.82*1795.8</f>
        <v>1472.5559999999998</v>
      </c>
      <c r="C24" s="30">
        <f>1.25*B24</f>
        <v>1840.6949999999997</v>
      </c>
      <c r="D24" s="30">
        <f>1.75*B24</f>
        <v>2576.9729999999995</v>
      </c>
      <c r="E24" s="38">
        <f>2.25*B24</f>
        <v>3313.2509999999997</v>
      </c>
      <c r="F24" s="16">
        <f>B9*B24+C9*C24+D9*D24+E9*E24</f>
        <v>372383.64267</v>
      </c>
      <c r="G24" s="16">
        <f t="shared" si="0"/>
        <v>4468603.71204</v>
      </c>
    </row>
    <row r="25" spans="1:7" ht="12.75">
      <c r="A25" s="28" t="s">
        <v>100</v>
      </c>
      <c r="B25" s="27">
        <f>B23-B24</f>
        <v>230.06244451462885</v>
      </c>
      <c r="C25" s="27">
        <f>C23-C24</f>
        <v>268.70441291332963</v>
      </c>
      <c r="D25" s="27">
        <f>D23-D24</f>
        <v>217.2824653361663</v>
      </c>
      <c r="E25" s="36">
        <f>E23-E24</f>
        <v>181.68982700226024</v>
      </c>
      <c r="F25" s="10" t="s">
        <v>101</v>
      </c>
      <c r="G25" s="31"/>
    </row>
    <row r="26" spans="1:7" ht="12.75">
      <c r="A26" s="39" t="s">
        <v>102</v>
      </c>
      <c r="B26" s="27">
        <f>B9*12*B23</f>
        <v>57820.92237571679</v>
      </c>
      <c r="C26" s="27">
        <f>C9*12*C23</f>
        <v>342482.0886806082</v>
      </c>
      <c r="D26" s="27">
        <f>D9*12*D23</f>
        <v>3150914.2329316735</v>
      </c>
      <c r="E26" s="36">
        <f>E9*12*E23</f>
        <v>1280406.5213805481</v>
      </c>
      <c r="F26" s="16"/>
      <c r="G26" s="16">
        <f>SUM(B26:E26)</f>
        <v>4831623.765368547</v>
      </c>
    </row>
    <row r="27" spans="1:7" ht="12.75">
      <c r="A27" s="28" t="s">
        <v>103</v>
      </c>
      <c r="B27" s="27">
        <f>1.203*B26</f>
        <v>69558.5696179873</v>
      </c>
      <c r="C27" s="27">
        <f>1.203*C26</f>
        <v>412005.95268277166</v>
      </c>
      <c r="D27" s="27">
        <f>1.203*D26</f>
        <v>3790549.8222168037</v>
      </c>
      <c r="E27" s="36">
        <f>1.203*E26</f>
        <v>1540329.0452207995</v>
      </c>
      <c r="F27" s="16"/>
      <c r="G27" s="16">
        <f>SUM(B27:E27)</f>
        <v>5812443.389738362</v>
      </c>
    </row>
    <row r="28" spans="1:7" ht="12.75">
      <c r="A28" s="28" t="s">
        <v>104</v>
      </c>
      <c r="B28" s="27">
        <f>B9*2000</f>
        <v>5660</v>
      </c>
      <c r="C28" s="27">
        <f>C9*2000</f>
        <v>27060.000000000004</v>
      </c>
      <c r="D28" s="27">
        <f>D9*2000</f>
        <v>187940</v>
      </c>
      <c r="E28" s="36">
        <f>E9*2000</f>
        <v>61060</v>
      </c>
      <c r="F28" s="16"/>
      <c r="G28" s="16">
        <f>SUM(B28:E28)</f>
        <v>281720</v>
      </c>
    </row>
    <row r="29" spans="1:7" ht="12.75">
      <c r="A29" s="28" t="s">
        <v>105</v>
      </c>
      <c r="B29" s="40">
        <f>12*0.48*B9*0.1*B11</f>
        <v>1813.4966015999998</v>
      </c>
      <c r="C29" s="40">
        <f>12*0.48*C9*0.1*C11</f>
        <v>10550.776262399999</v>
      </c>
      <c r="D29" s="40">
        <f>12*0.48*D9*0.1*D11</f>
        <v>91591.61178240001</v>
      </c>
      <c r="E29" s="40">
        <f>12*0.48*E9*0.1*E11</f>
        <v>36609.2117568</v>
      </c>
      <c r="F29" s="16"/>
      <c r="G29" s="16">
        <f>SUM(B29:E29)</f>
        <v>140565.0964032</v>
      </c>
    </row>
    <row r="30" spans="1:7" ht="12.75">
      <c r="A30" s="28" t="s">
        <v>106</v>
      </c>
      <c r="B30" s="40">
        <f>12*B9*6</f>
        <v>203.76</v>
      </c>
      <c r="C30" s="40">
        <f>12*C9*6</f>
        <v>974.1600000000001</v>
      </c>
      <c r="D30" s="40">
        <f>12*D9*6</f>
        <v>6765.839999999999</v>
      </c>
      <c r="E30" s="40">
        <f>12*E9*6</f>
        <v>2198.16</v>
      </c>
      <c r="F30" s="16"/>
      <c r="G30" s="16">
        <f>SUM(B30:E30)</f>
        <v>10141.92</v>
      </c>
    </row>
    <row r="31" spans="1:7" ht="12.75">
      <c r="A31" s="28" t="s">
        <v>107</v>
      </c>
      <c r="B31" s="40">
        <f>12*0.01*(B11+B12)*B9</f>
        <v>377.81179199999997</v>
      </c>
      <c r="C31" s="40">
        <f>12*0.01*(C11+C12)*C9</f>
        <v>2352.011904</v>
      </c>
      <c r="D31" s="40">
        <f>12*0.01*(D11+D12)*D9</f>
        <v>22009.390283999997</v>
      </c>
      <c r="E31" s="41">
        <f>12*0.01*(E11+E12)*E9</f>
        <v>9003.48018</v>
      </c>
      <c r="F31" s="16"/>
      <c r="G31" s="16">
        <f>SUM(B31:E31)</f>
        <v>33742.69416</v>
      </c>
    </row>
    <row r="32" spans="1:7" ht="12.75">
      <c r="A32" s="42" t="s">
        <v>108</v>
      </c>
      <c r="B32" s="31"/>
      <c r="C32" s="31"/>
      <c r="D32" s="31"/>
      <c r="E32" s="43"/>
      <c r="F32" s="16"/>
      <c r="G32" s="16">
        <f>SUM(G27:G31)</f>
        <v>6278613.100301562</v>
      </c>
    </row>
    <row r="33" ht="12.75">
      <c r="A33" s="44"/>
    </row>
    <row r="34" ht="12.75">
      <c r="A34" s="22" t="s">
        <v>109</v>
      </c>
    </row>
  </sheetData>
  <mergeCells count="4">
    <mergeCell ref="A4:E5"/>
    <mergeCell ref="A6:E6"/>
    <mergeCell ref="A7:A8"/>
    <mergeCell ref="B7:E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Czogala</dc:creator>
  <cp:keywords/>
  <dc:description/>
  <cp:lastModifiedBy>M.Z.O.</cp:lastModifiedBy>
  <cp:lastPrinted>2005-12-08T08:42:06Z</cp:lastPrinted>
  <dcterms:created xsi:type="dcterms:W3CDTF">2005-11-02T22:49:24Z</dcterms:created>
  <dcterms:modified xsi:type="dcterms:W3CDTF">2005-12-08T08:43:11Z</dcterms:modified>
  <cp:category/>
  <cp:version/>
  <cp:contentType/>
  <cp:contentStatus/>
  <cp:revision>1</cp:revision>
</cp:coreProperties>
</file>